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mc:AlternateContent xmlns:mc="http://schemas.openxmlformats.org/markup-compatibility/2006">
    <mc:Choice Requires="x15">
      <x15ac:absPath xmlns:x15ac="http://schemas.microsoft.com/office/spreadsheetml/2010/11/ac" url="D:\Users\AGorbunov\AppData\Roaming\1C\1cv8\40a7ed93-a8c8-42e6-b948-796abdfe65e1\e9ce8b41-92aa-4f7f-a8c3-d59abb3bfa5b\App\"/>
    </mc:Choice>
  </mc:AlternateContent>
  <workbookProtection workbookAlgorithmName="SHA-512" workbookHashValue="jaAceNcHakoq0MaMfGlnVTzo9uDZpYkiJzu/mdaYFaOIt9SkL4RTODlKq8l8+Pth14ykpLHo2QXvrgCaCOPZaQ==" workbookSaltValue="T+LLY/pUHylii06OfiXMtQ==" workbookSpinCount="100000" lockStructure="1"/>
  <bookViews>
    <workbookView xWindow="0" yWindow="0" windowWidth="28800" windowHeight="12300" tabRatio="705" activeTab="2"/>
  </bookViews>
  <sheets>
    <sheet name="Page1|Страница 1" sheetId="13" r:id="rId1"/>
    <sheet name="Page2|Страница 2" sheetId="14" r:id="rId2"/>
    <sheet name="Page3|Страница 3" sheetId="16" r:id="rId3"/>
    <sheet name="Overview |Обзор спецификации" sheetId="18" state="hidden" r:id="rId4"/>
    <sheet name="Help|Помощь" sheetId="19" state="hidden" r:id="rId5"/>
    <sheet name="Data" sheetId="8" state="hidden" r:id="rId6"/>
    <sheet name="language" sheetId="9" state="hidden" r:id="rId7"/>
    <sheet name="unittrans" sheetId="10" state="hidden" r:id="rId8"/>
    <sheet name="tq-transfer" sheetId="7" state="hidden" r:id="rId9"/>
  </sheets>
  <definedNames>
    <definedName name="_xlnm._FilterDatabase" localSheetId="3" hidden="1">'Overview |Обзор спецификации'!$B$1:$I$3</definedName>
    <definedName name="_xlnm._FilterDatabase" localSheetId="0" hidden="1">'Page1|Страница 1'!$E$40:$W$43</definedName>
    <definedName name="abrcor">Data!$AD$3:$AD$5</definedName>
    <definedName name="alarmvalue">Data!$CG$14:$CG$15</definedName>
    <definedName name="analog">Data!#REF!</definedName>
    <definedName name="Angebot">Data!$DY$3:$DY$6</definedName>
    <definedName name="AnzEinheiten">65534-COUNTBLANK(unittrans!$A:$A)</definedName>
    <definedName name="AnzLang">256-COUNTBLANK(language!$B$1:$IU$1)</definedName>
    <definedName name="calibration">Data!$CJ$3:$CJ$6</definedName>
    <definedName name="calibratopn">'Page2|Страница 2'!$M$64</definedName>
    <definedName name="caliMedium">Data!$CK$2</definedName>
    <definedName name="capmaterial">Data!$BK$3:$BK$4</definedName>
    <definedName name="condition">Data!$AA$3:$AA$4</definedName>
    <definedName name="Condition_Ja">Data!$AA$4</definedName>
    <definedName name="designcode">Data!$AI$9:$AI$10</definedName>
    <definedName name="designcode_ru">Data!$AI$13</definedName>
    <definedName name="druck">Data!$BV$3:$BV$4</definedName>
    <definedName name="Druckentnahme_Anmerkungen">'Page2|Страница 2'!$T$34</definedName>
    <definedName name="Druckentnahme_Anmerkungen_lang">language!$A$521</definedName>
    <definedName name="Druckentnahme_Anzahl">'Page2|Страница 2'!$AE$32</definedName>
    <definedName name="druckentnahme1">language!$A$237</definedName>
    <definedName name="druckentnahme2">language!$A$238</definedName>
    <definedName name="druckregler">Data!$DV$3:$DV$5</definedName>
    <definedName name="Druckregler_Ja_1">Data!$DV$3</definedName>
    <definedName name="Druckregler_Ja_2">Data!$DV$4</definedName>
    <definedName name="drycalibration">language!$A$250</definedName>
    <definedName name="Einheit_01">Data!$FB$4:$FB$9</definedName>
    <definedName name="Einheit_02">Data!$FC$4:$FC$5</definedName>
    <definedName name="Einheit_03">Data!$FD$4:$FD$5</definedName>
    <definedName name="Einheit_04">Data!$FE$4:$FE$5</definedName>
    <definedName name="Einheit_05">Data!$FF$4:$FF$5</definedName>
    <definedName name="Einheit_06">Data!$FG$4:$FG$5</definedName>
    <definedName name="Einheit_07">Data!$FH$4:$FH$5</definedName>
    <definedName name="Einheit_08">Data!$FI$4:$FI$6</definedName>
    <definedName name="Einheit_09">Data!$FJ$4</definedName>
    <definedName name="Einheit_10">Data!$FK$4:$FK$5</definedName>
    <definedName name="Einheit_11">Data!$FL$4</definedName>
    <definedName name="Einheit_12">Data!$FM$4:$FM$6</definedName>
    <definedName name="EinheitMatrix">INDIRECT("unittrans!$B$1:"&amp;ADDRESS(AnzEinheiten+2,AnzLang*2-1,1,1))</definedName>
    <definedName name="engineering">Data!$CD$3:$CD$4</definedName>
    <definedName name="exclass">Data!$BZ$16</definedName>
    <definedName name="exproof">Data!$BX$3:$BX$13</definedName>
    <definedName name="farbe">'Page1|Страница 1'!#REF!</definedName>
    <definedName name="flangedesigncode">Data!$AI$3:$AI$4</definedName>
    <definedName name="flangefacing">Data!$AW$3:$AW$14</definedName>
    <definedName name="flangefacing_GOST">Data!$AW$31:$AW$39</definedName>
    <definedName name="flangerating">Data!$AO$3:$AO$30</definedName>
    <definedName name="flangeratingANSI">Data!$AK$3:$AK$8</definedName>
    <definedName name="flangeratingDIN">Data!$AM$3:$AM$14</definedName>
    <definedName name="Flanschnorm1">language!$A$217</definedName>
    <definedName name="flow_max">Data!$L$29</definedName>
    <definedName name="flow_min">Data!$K$29</definedName>
    <definedName name="Formelunitwert">INDIRECT(ADDRESS(MATCH(INDIRECT(ADDRESS(ROW(),COLUMN()-2,4,1)),INDIRECT("unittrans!A3:A"&amp;AnzEinheiten+2),0)+2,2*MATCH(langchoose,language,0)+1,4,1,"unittrans"))</definedName>
    <definedName name="frontpanel">Data!$CG$3:$CG$4</definedName>
    <definedName name="gas">Data!$X$3:$X$16</definedName>
    <definedName name="Gas_CO2">Data!$X$8</definedName>
    <definedName name="Gas_H2">Data!$X$11</definedName>
    <definedName name="Gas_O2">Data!$X$15</definedName>
    <definedName name="Gasart">'Page1|Страница 1'!$R$40</definedName>
    <definedName name="gascomposition">Data!$AG$3:$AG$23</definedName>
    <definedName name="Gasz01">'Page1|Страница 1'!$V$46</definedName>
    <definedName name="Gasz02">'Page1|Страница 1'!$AK$46</definedName>
    <definedName name="Gasz03">'Page1|Страница 1'!$V$48</definedName>
    <definedName name="Gasz04">'Page1|Страница 1'!$AK$48</definedName>
    <definedName name="Gasz05">'Page1|Страница 1'!$V$50</definedName>
    <definedName name="Gasz06">'Page1|Страница 1'!$AK$50</definedName>
    <definedName name="Gasz07">'Page1|Страница 1'!$V$52</definedName>
    <definedName name="Gasz08">'Page1|Страница 1'!$AK$52</definedName>
    <definedName name="gateconfig">Data!$CV$5:$CV$14</definedName>
    <definedName name="gewinde">Data!$BY$16</definedName>
    <definedName name="gklasse">Data!$EB$3:$EG$3</definedName>
    <definedName name="Hart_Yes_No">'Page3|Страница 3'!$L$64</definedName>
    <definedName name="Hinw_Gas_01">'Page1|Страница 1'!$N$53</definedName>
    <definedName name="Hinw_Gas_Lang">language!$A$51</definedName>
    <definedName name="Hinweis_keinöl">language!$A$525</definedName>
    <definedName name="Hinweis_Öl">language!$A$524</definedName>
    <definedName name="hw_31">Data!$EJ$76:$EK$76</definedName>
    <definedName name="hw_5141">Data!$EJ$90:$EK$90</definedName>
    <definedName name="hw_81">Data!$EJ$94:$EK$94</definedName>
    <definedName name="impulsfaktor">Data!$DX$3:$DX$4</definedName>
    <definedName name="innerDiameter">Data!$AT$3:$AT$7</definedName>
    <definedName name="IO_Signal_81_82">'Page3|Страница 3'!$K$59</definedName>
    <definedName name="Kali_Kunde">language!$A$255</definedName>
    <definedName name="klemme">'Overview |Обзор спецификации'!#REF!</definedName>
    <definedName name="klemme31">Data!$EJ$4:$EM$4</definedName>
    <definedName name="klemme33">Data!$EJ$18:$EM$18</definedName>
    <definedName name="klemme41">Data!$EJ$47:$EM$47</definedName>
    <definedName name="klemme51">Data!$EJ$32:$EM$32</definedName>
    <definedName name="klemme51_12">Data!$EJ$35</definedName>
    <definedName name="klemme81">Data!$EJ$61:$EN$61</definedName>
    <definedName name="kundenangabe">language!$A$323</definedName>
    <definedName name="langchoose" localSheetId="1">'Page1|Страница 1'!$K$8:$P$8</definedName>
    <definedName name="langchoose">'Page1|Страница 1'!$K$8</definedName>
    <definedName name="LangMatrix">INDIRECT("$B$1:"&amp;ADDRESS(ROW(),AnzLang,1,1))</definedName>
    <definedName name="language">INDIRECT("language!$B$1:"&amp;ADDRESS(1,AnzLang,1,1))</definedName>
    <definedName name="leakagetest">Data!$BS$3:$BS$5</definedName>
    <definedName name="leakagetest_E">Data!$BS$5</definedName>
    <definedName name="material">Data!$BE$4:$BE$7</definedName>
    <definedName name="Material1">language!$A$223</definedName>
    <definedName name="materialcertificate">Data!$BN$3:$BN$4</definedName>
    <definedName name="meterbodylength">Data!$AQ$3:$AQ$6</definedName>
    <definedName name="metersize">Data!$H$3:$H$27</definedName>
    <definedName name="nationaltype">Data!$CS$3:$CS$31</definedName>
    <definedName name="other">language!$A$258</definedName>
    <definedName name="Output_config_2">Data!$CX$3</definedName>
    <definedName name="outputconfig">'Page3|Страница 3'!$P$8</definedName>
    <definedName name="p_max">Data!$U$22</definedName>
    <definedName name="p_min">Data!$U$21</definedName>
    <definedName name="painting">Data!$BP$3:$BP$4</definedName>
    <definedName name="painting_E">Data!$BP$4</definedName>
    <definedName name="pathconfig">Data!$T$3</definedName>
    <definedName name="pathconfig1">Data!$U$3:$U$6</definedName>
    <definedName name="Rauigkeit">language!$A$132</definedName>
    <definedName name="rp31_">Data!$EJ$108:$EK$108</definedName>
    <definedName name="rp51_">Data!$EJ$123:$EK$123</definedName>
    <definedName name="rp81_">Data!$EJ$127:$EK$127</definedName>
    <definedName name="schaltausgang">Data!$DZ$3:$DZ$4</definedName>
    <definedName name="schalter1">'Page3|Страница 3'!$AK$92</definedName>
    <definedName name="sonstiges">language!$A$258</definedName>
    <definedName name="Sprache">'Overview |Обзор спецификации'!#REF!</definedName>
    <definedName name="surfacequality">Data!$BA$3:$BA$7</definedName>
    <definedName name="t_max">Data!$U$14</definedName>
    <definedName name="t_min">Data!$U$13</definedName>
    <definedName name="testmedium">Data!$CM$3:$CM$5</definedName>
    <definedName name="tp">language!$A$235</definedName>
    <definedName name="tu_max">Data!$U$18</definedName>
    <definedName name="tu_min">Data!$U$17</definedName>
    <definedName name="turndownratio">Data!$CQ$3:$CQ$8</definedName>
    <definedName name="unit">language!$A$3</definedName>
    <definedName name="Yes_E">Data!$B$3</definedName>
    <definedName name="YesNo">Data!$B$3:$B$4</definedName>
    <definedName name="Z_886C5A8D_FC31_4806_9E61_EC79EB3C1911_.wvu.PrintArea" localSheetId="3" hidden="1">'Overview |Обзор спецификации'!$B$2:$M$67</definedName>
    <definedName name="_xlnm.Print_Area" localSheetId="5">Data!$EI$2:$EM$127</definedName>
    <definedName name="_xlnm.Print_Area" localSheetId="3">'Overview |Обзор спецификации'!$B$2:$M$67</definedName>
    <definedName name="_xlnm.Print_Area" localSheetId="0">'Page1|Страница 1'!$B$2:$AP$94</definedName>
    <definedName name="_xlnm.Print_Area" localSheetId="1">'Page2|Страница 2'!$B$2:$AP$84</definedName>
    <definedName name="_xlnm.Print_Area" localSheetId="2">'Page3|Страница 3'!$B$2:$AP$99</definedName>
  </definedNames>
  <calcPr calcId="162913"/>
</workbook>
</file>

<file path=xl/calcChain.xml><?xml version="1.0" encoding="utf-8"?>
<calcChain xmlns="http://schemas.openxmlformats.org/spreadsheetml/2006/main">
  <c r="CV3" i="8" l="1"/>
  <c r="CX3" i="8" s="1"/>
  <c r="P27" i="16"/>
  <c r="E27" i="16"/>
  <c r="AB13" i="16"/>
  <c r="P13" i="16"/>
  <c r="E13" i="16"/>
  <c r="V84" i="13" l="1"/>
  <c r="X44" i="13"/>
  <c r="AL70" i="14"/>
  <c r="AM28" i="14"/>
  <c r="D134" i="7" s="1"/>
  <c r="Z62" i="13"/>
  <c r="E529" i="9"/>
  <c r="E3" i="9"/>
  <c r="E4" i="9"/>
  <c r="E5" i="9"/>
  <c r="E6" i="9"/>
  <c r="E7" i="9"/>
  <c r="E8" i="9"/>
  <c r="E9"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2" i="9"/>
  <c r="C83" i="14"/>
  <c r="AD54" i="14"/>
  <c r="K12" i="18"/>
  <c r="E19" i="18"/>
  <c r="K59" i="18"/>
  <c r="K37" i="18"/>
  <c r="K19" i="18"/>
  <c r="EI33" i="8"/>
  <c r="V28" i="14"/>
  <c r="AI10" i="8"/>
  <c r="ER84" i="8"/>
  <c r="ER83" i="8"/>
  <c r="ER82" i="8"/>
  <c r="ER80" i="8"/>
  <c r="ER81" i="8"/>
  <c r="ER79" i="8"/>
  <c r="ER77" i="8"/>
  <c r="ER78" i="8"/>
  <c r="ER76" i="8"/>
  <c r="ER74" i="8"/>
  <c r="ER75" i="8"/>
  <c r="ER73" i="8"/>
  <c r="ER71" i="8"/>
  <c r="ER72" i="8"/>
  <c r="ER70" i="8"/>
  <c r="ER67" i="8"/>
  <c r="ER68" i="8"/>
  <c r="ER69" i="8"/>
  <c r="ER66" i="8"/>
  <c r="ER63" i="8"/>
  <c r="ER64" i="8"/>
  <c r="ER65" i="8"/>
  <c r="ER62" i="8"/>
  <c r="ER59" i="8"/>
  <c r="ER60" i="8"/>
  <c r="ER61" i="8"/>
  <c r="ER58" i="8"/>
  <c r="ER55" i="8"/>
  <c r="ER56" i="8"/>
  <c r="ER57" i="8"/>
  <c r="ER54" i="8"/>
  <c r="ER52" i="8"/>
  <c r="ER53" i="8"/>
  <c r="ER51" i="8"/>
  <c r="ER48" i="8"/>
  <c r="ER49" i="8"/>
  <c r="ER50" i="8"/>
  <c r="ER47" i="8"/>
  <c r="ER45" i="8"/>
  <c r="ER46" i="8"/>
  <c r="ER44" i="8"/>
  <c r="ER41" i="8"/>
  <c r="ER42" i="8"/>
  <c r="ER43" i="8"/>
  <c r="ER40" i="8"/>
  <c r="ER37" i="8"/>
  <c r="ER38" i="8"/>
  <c r="ER39" i="8"/>
  <c r="ER36" i="8"/>
  <c r="ER33" i="8"/>
  <c r="ER34" i="8"/>
  <c r="ER35" i="8"/>
  <c r="ER32" i="8"/>
  <c r="ER28" i="8"/>
  <c r="ER29" i="8"/>
  <c r="ER30" i="8"/>
  <c r="ER31" i="8"/>
  <c r="ER27" i="8"/>
  <c r="ER22" i="8"/>
  <c r="ER23" i="8"/>
  <c r="ER24" i="8"/>
  <c r="ER25" i="8"/>
  <c r="ER26" i="8"/>
  <c r="ER21" i="8"/>
  <c r="ER16" i="8"/>
  <c r="ER17" i="8"/>
  <c r="ER18" i="8"/>
  <c r="ER19" i="8"/>
  <c r="ER20" i="8"/>
  <c r="ER15" i="8"/>
  <c r="ER12" i="8"/>
  <c r="ER13" i="8"/>
  <c r="ER14" i="8"/>
  <c r="ER11" i="8"/>
  <c r="ER8" i="8"/>
  <c r="ER9" i="8"/>
  <c r="ER10" i="8"/>
  <c r="ER7" i="8"/>
  <c r="AR86" i="13"/>
  <c r="Z76" i="13"/>
  <c r="D124" i="7" s="1"/>
  <c r="DS27" i="8"/>
  <c r="DS26" i="8"/>
  <c r="DS24" i="8"/>
  <c r="DS23" i="8"/>
  <c r="DR23" i="8"/>
  <c r="DS22" i="8"/>
  <c r="DS21" i="8"/>
  <c r="DS20" i="8"/>
  <c r="DS19" i="8"/>
  <c r="DS18" i="8"/>
  <c r="DS17" i="8"/>
  <c r="DS16" i="8"/>
  <c r="DS15" i="8"/>
  <c r="DS14" i="8"/>
  <c r="DS13" i="8"/>
  <c r="DS12" i="8"/>
  <c r="DS11" i="8"/>
  <c r="DS10" i="8"/>
  <c r="DS9" i="8"/>
  <c r="DS8" i="8"/>
  <c r="DS7" i="8"/>
  <c r="DS6" i="8"/>
  <c r="DS5" i="8"/>
  <c r="DS4" i="8"/>
  <c r="DS3" i="8"/>
  <c r="BX16" i="8"/>
  <c r="BZ16" i="8" s="1"/>
  <c r="K9" i="18" s="1"/>
  <c r="AU7" i="8"/>
  <c r="AQ6" i="8"/>
  <c r="H28" i="8"/>
  <c r="I28" i="8" s="1"/>
  <c r="ER4" i="8"/>
  <c r="EQ4" i="8"/>
  <c r="ES4" i="8" s="1"/>
  <c r="ES5" i="8" s="1"/>
  <c r="EA3" i="8"/>
  <c r="EF3" i="8" s="1"/>
  <c r="EC3" i="8"/>
  <c r="DR22" i="8"/>
  <c r="DR21" i="8"/>
  <c r="DR20" i="8"/>
  <c r="DR19" i="8"/>
  <c r="DR18" i="8"/>
  <c r="DR17" i="8"/>
  <c r="DR16" i="8"/>
  <c r="DR15" i="8"/>
  <c r="DR14" i="8"/>
  <c r="DR13" i="8"/>
  <c r="DR12" i="8"/>
  <c r="DR11" i="8"/>
  <c r="DR10" i="8"/>
  <c r="DR9" i="8"/>
  <c r="DR8" i="8"/>
  <c r="DR7" i="8"/>
  <c r="DR6" i="8"/>
  <c r="DR5" i="8"/>
  <c r="DR4" i="8"/>
  <c r="DR3" i="8"/>
  <c r="BX2" i="8"/>
  <c r="B1" i="10"/>
  <c r="D1" i="10"/>
  <c r="F1" i="10"/>
  <c r="E22" i="18"/>
  <c r="E23" i="18"/>
  <c r="AR70" i="13"/>
  <c r="AR30" i="14"/>
  <c r="M10" i="14"/>
  <c r="T32" i="14" s="1"/>
  <c r="E33" i="18" s="1"/>
  <c r="C98" i="16"/>
  <c r="C168" i="7"/>
  <c r="C165" i="7"/>
  <c r="C166" i="7"/>
  <c r="C167" i="7"/>
  <c r="C156" i="7"/>
  <c r="C157" i="7"/>
  <c r="C158" i="7"/>
  <c r="C159" i="7"/>
  <c r="C160" i="7"/>
  <c r="C161" i="7"/>
  <c r="C162" i="7"/>
  <c r="C163" i="7"/>
  <c r="C164" i="7"/>
  <c r="C155" i="7"/>
  <c r="C153" i="7"/>
  <c r="C152" i="7"/>
  <c r="C151" i="7"/>
  <c r="C150" i="7"/>
  <c r="C148" i="7"/>
  <c r="C144" i="7"/>
  <c r="C141" i="7"/>
  <c r="C138" i="7"/>
  <c r="C136" i="7"/>
  <c r="C135" i="7"/>
  <c r="C134" i="7"/>
  <c r="C133" i="7"/>
  <c r="C132" i="7"/>
  <c r="C131" i="7"/>
  <c r="C130" i="7"/>
  <c r="C128" i="7"/>
  <c r="C127" i="7"/>
  <c r="C126" i="7"/>
  <c r="C125" i="7"/>
  <c r="C124" i="7"/>
  <c r="C123" i="7"/>
  <c r="C122" i="7"/>
  <c r="C121" i="7"/>
  <c r="C120" i="7"/>
  <c r="C119" i="7"/>
  <c r="C118" i="7"/>
  <c r="C117" i="7"/>
  <c r="C116" i="7"/>
  <c r="C115" i="7"/>
  <c r="C114" i="7"/>
  <c r="C113" i="7"/>
  <c r="C112" i="7"/>
  <c r="C111" i="7"/>
  <c r="C109" i="7"/>
  <c r="C108" i="7"/>
  <c r="C107" i="7"/>
  <c r="C105" i="7"/>
  <c r="C103" i="7"/>
  <c r="C102" i="7"/>
  <c r="C101" i="7"/>
  <c r="C100" i="7"/>
  <c r="C99" i="7"/>
  <c r="C98" i="7"/>
  <c r="C97" i="7"/>
  <c r="C96" i="7"/>
  <c r="C95" i="7"/>
  <c r="C94" i="7"/>
  <c r="C93" i="7"/>
  <c r="C92" i="7"/>
  <c r="C80" i="7"/>
  <c r="C79" i="7"/>
  <c r="C78" i="7"/>
  <c r="C77" i="7"/>
  <c r="C65" i="7"/>
  <c r="C63" i="7"/>
  <c r="C58" i="7"/>
  <c r="C57" i="7"/>
  <c r="C56" i="7"/>
  <c r="C55" i="7"/>
  <c r="C54" i="7"/>
  <c r="C53" i="7"/>
  <c r="C52" i="7"/>
  <c r="C51" i="7"/>
  <c r="C50" i="7"/>
  <c r="C49" i="7"/>
  <c r="C48" i="7"/>
  <c r="C46" i="7"/>
  <c r="C45" i="7"/>
  <c r="C44" i="7"/>
  <c r="C43" i="7"/>
  <c r="C41" i="7"/>
  <c r="C39" i="7"/>
  <c r="C38" i="7"/>
  <c r="C37" i="7"/>
  <c r="C36" i="7"/>
  <c r="C35" i="7"/>
  <c r="C34" i="7"/>
  <c r="C33" i="7"/>
  <c r="C32" i="7"/>
  <c r="C31" i="7"/>
  <c r="C30" i="7"/>
  <c r="C29" i="7"/>
  <c r="C28" i="7"/>
  <c r="C3" i="7"/>
  <c r="C27" i="7"/>
  <c r="C26" i="7"/>
  <c r="C25" i="7"/>
  <c r="C24" i="7"/>
  <c r="C23" i="7"/>
  <c r="C22" i="7"/>
  <c r="C21" i="7"/>
  <c r="C20" i="7"/>
  <c r="C19" i="7"/>
  <c r="C18" i="7"/>
  <c r="C17" i="7"/>
  <c r="C16" i="7"/>
  <c r="C15" i="7"/>
  <c r="C14" i="7"/>
  <c r="C13" i="7"/>
  <c r="C12" i="7"/>
  <c r="C11" i="7"/>
  <c r="C10" i="7"/>
  <c r="C9" i="7"/>
  <c r="C8" i="7"/>
  <c r="C7" i="7"/>
  <c r="C6" i="7"/>
  <c r="C5" i="7"/>
  <c r="C4" i="7"/>
  <c r="C47" i="7"/>
  <c r="C42" i="7"/>
  <c r="C72" i="7"/>
  <c r="C76" i="7"/>
  <c r="C68" i="7"/>
  <c r="C146" i="7"/>
  <c r="C73" i="7"/>
  <c r="C64" i="7"/>
  <c r="C75" i="7"/>
  <c r="C71" i="7"/>
  <c r="C74" i="7"/>
  <c r="C70" i="7"/>
  <c r="C69" i="7"/>
  <c r="C67" i="7"/>
  <c r="C66" i="7"/>
  <c r="K38" i="18"/>
  <c r="K24" i="18"/>
  <c r="K16" i="18"/>
  <c r="K14" i="18"/>
  <c r="K13" i="18"/>
  <c r="E48" i="18"/>
  <c r="E47" i="18"/>
  <c r="E49" i="18"/>
  <c r="G45" i="18"/>
  <c r="F45" i="18"/>
  <c r="E45" i="18"/>
  <c r="G44" i="18"/>
  <c r="F44" i="18"/>
  <c r="E44" i="18"/>
  <c r="G43" i="18"/>
  <c r="F43" i="18"/>
  <c r="E43" i="18"/>
  <c r="E30" i="18"/>
  <c r="E29" i="18"/>
  <c r="E28" i="18"/>
  <c r="E27" i="18"/>
  <c r="E26" i="18"/>
  <c r="E10" i="18"/>
  <c r="E8" i="18"/>
  <c r="E53" i="18"/>
  <c r="K32" i="18"/>
  <c r="K30" i="18"/>
  <c r="K29" i="18"/>
  <c r="K27" i="18"/>
  <c r="K18" i="18"/>
  <c r="K25" i="18"/>
  <c r="H1" i="10"/>
  <c r="AH76" i="13"/>
  <c r="D125" i="7" s="1"/>
  <c r="D123" i="7"/>
  <c r="D49" i="18"/>
  <c r="D146" i="7"/>
  <c r="Z70" i="13"/>
  <c r="D39" i="7"/>
  <c r="AH70" i="13"/>
  <c r="D38" i="7"/>
  <c r="D44" i="18"/>
  <c r="D37" i="7"/>
  <c r="AH72" i="13"/>
  <c r="D119" i="7"/>
  <c r="Z72" i="13"/>
  <c r="D118" i="7" s="1"/>
  <c r="D117" i="7"/>
  <c r="J13" i="18"/>
  <c r="AH86" i="13"/>
  <c r="D27" i="7" s="1"/>
  <c r="D26" i="7"/>
  <c r="D45" i="18"/>
  <c r="Z68" i="13"/>
  <c r="D36" i="7"/>
  <c r="AH68" i="13"/>
  <c r="D35" i="7"/>
  <c r="D34" i="7"/>
  <c r="D45" i="7"/>
  <c r="AH78" i="13"/>
  <c r="D128" i="7" s="1"/>
  <c r="Z78" i="13"/>
  <c r="D127" i="7"/>
  <c r="D126" i="7"/>
  <c r="Z64" i="13"/>
  <c r="D112" i="7"/>
  <c r="AH64" i="13"/>
  <c r="D113" i="7" s="1"/>
  <c r="D111" i="7"/>
  <c r="D133" i="7"/>
  <c r="D28" i="18"/>
  <c r="AH62" i="13"/>
  <c r="D29" i="7"/>
  <c r="D28" i="7"/>
  <c r="D30" i="7"/>
  <c r="D43" i="18"/>
  <c r="AH66" i="13"/>
  <c r="D32" i="7"/>
  <c r="D31" i="7"/>
  <c r="Z66" i="13"/>
  <c r="D115" i="7" s="1"/>
  <c r="D33" i="7"/>
  <c r="D114" i="7"/>
  <c r="D135" i="7"/>
  <c r="D29" i="18"/>
  <c r="D108" i="7"/>
  <c r="D109" i="7"/>
  <c r="Y54" i="13"/>
  <c r="AD56" i="13"/>
  <c r="D101" i="16"/>
  <c r="D34" i="18"/>
  <c r="DT13" i="8"/>
  <c r="DT20" i="8"/>
  <c r="DT25" i="8"/>
  <c r="DT3" i="8"/>
  <c r="DT11" i="8"/>
  <c r="DT21" i="8"/>
  <c r="DT22" i="8"/>
  <c r="DT8" i="8"/>
  <c r="DT19" i="8"/>
  <c r="DT4" i="8"/>
  <c r="X46" i="13"/>
  <c r="X48" i="13" s="1"/>
  <c r="X50" i="13" s="1"/>
  <c r="X52" i="13" s="1"/>
  <c r="DT15" i="8"/>
  <c r="DT6" i="8"/>
  <c r="DT7" i="8"/>
  <c r="DT16" i="8"/>
  <c r="DT26" i="8"/>
  <c r="DT9" i="8"/>
  <c r="DT27" i="8"/>
  <c r="DT10" i="8"/>
  <c r="DT23" i="8"/>
  <c r="DT14" i="8"/>
  <c r="DT12" i="8"/>
  <c r="DT24" i="8"/>
  <c r="DT17" i="8"/>
  <c r="DT18" i="8"/>
  <c r="DT5" i="8"/>
  <c r="K51" i="18"/>
  <c r="C40" i="7"/>
  <c r="C142" i="7"/>
  <c r="N53" i="13"/>
  <c r="C139" i="7"/>
  <c r="K50" i="18"/>
  <c r="K43" i="18"/>
  <c r="BY16" i="8"/>
  <c r="K8" i="18" s="1"/>
  <c r="D116" i="7"/>
  <c r="I40" i="18"/>
  <c r="K55" i="18"/>
  <c r="K41" i="18"/>
  <c r="J43" i="18"/>
  <c r="I44" i="18"/>
  <c r="K42" i="18"/>
  <c r="K56" i="18"/>
  <c r="I43" i="18"/>
  <c r="I42" i="18"/>
  <c r="M44" i="18"/>
  <c r="K53" i="18"/>
  <c r="I58" i="18"/>
  <c r="I53" i="18"/>
  <c r="K45" i="18"/>
  <c r="I52" i="18"/>
  <c r="J44" i="18"/>
  <c r="K46" i="18"/>
  <c r="L43" i="18"/>
  <c r="I41" i="18"/>
  <c r="K48" i="18"/>
  <c r="I56" i="18"/>
  <c r="K47" i="18"/>
  <c r="J45" i="18"/>
  <c r="I55" i="18"/>
  <c r="L44" i="18"/>
  <c r="M43" i="18"/>
  <c r="I46" i="18"/>
  <c r="K40" i="18"/>
  <c r="I49" i="18"/>
  <c r="I59" i="18"/>
  <c r="K44" i="18"/>
  <c r="K52" i="18"/>
  <c r="I48" i="18"/>
  <c r="I39" i="18"/>
  <c r="K49" i="18"/>
  <c r="I57" i="18"/>
  <c r="K58" i="18"/>
  <c r="I50" i="18"/>
  <c r="I51" i="18"/>
  <c r="I45" i="18"/>
  <c r="K54" i="18"/>
  <c r="I47" i="18"/>
  <c r="I54" i="18"/>
  <c r="AM46" i="13"/>
  <c r="AM48" i="13" s="1"/>
  <c r="AM50" i="13" s="1"/>
  <c r="AM52" i="13" s="1"/>
  <c r="AB32" i="14"/>
  <c r="E34" i="18"/>
  <c r="C34" i="18"/>
  <c r="A296" i="9"/>
  <c r="A445" i="9"/>
  <c r="A235" i="9"/>
  <c r="A44" i="9"/>
  <c r="A308" i="9"/>
  <c r="A504" i="9"/>
  <c r="A23" i="9"/>
  <c r="A338" i="9"/>
  <c r="A222" i="9"/>
  <c r="A294" i="9"/>
  <c r="A341" i="9"/>
  <c r="A71" i="9"/>
  <c r="A51" i="9"/>
  <c r="A76" i="9"/>
  <c r="A114" i="9"/>
  <c r="A247" i="9"/>
  <c r="A243" i="9"/>
  <c r="A382" i="9"/>
  <c r="A46" i="9"/>
  <c r="A105" i="9"/>
  <c r="A254" i="9"/>
  <c r="A422" i="9"/>
  <c r="A177" i="9"/>
  <c r="A116" i="9"/>
  <c r="A48" i="9"/>
  <c r="A492" i="9"/>
  <c r="A100" i="9"/>
  <c r="A174" i="9"/>
  <c r="A33" i="9"/>
  <c r="A333" i="9"/>
  <c r="A20" i="9"/>
  <c r="A473" i="9"/>
  <c r="A461" i="9"/>
  <c r="A182" i="9"/>
  <c r="A158" i="9"/>
  <c r="A196" i="9"/>
  <c r="A195" i="9"/>
  <c r="A95" i="9"/>
  <c r="A88" i="9"/>
  <c r="A301" i="9"/>
  <c r="A498" i="9"/>
  <c r="A292" i="9"/>
  <c r="A388" i="9"/>
  <c r="A269" i="9"/>
  <c r="A242" i="9"/>
  <c r="A423" i="9"/>
  <c r="A8" i="9"/>
  <c r="A135" i="9"/>
  <c r="A265" i="9"/>
  <c r="A260" i="9"/>
  <c r="A330" i="9"/>
  <c r="A491" i="9"/>
  <c r="A207" i="9"/>
  <c r="A334" i="9"/>
  <c r="A325" i="9"/>
  <c r="A117" i="9"/>
  <c r="A4" i="9"/>
  <c r="A209" i="9"/>
  <c r="A54" i="9"/>
  <c r="A21" i="9"/>
  <c r="A519" i="9"/>
  <c r="A271" i="9"/>
  <c r="A362" i="9"/>
  <c r="A337" i="9"/>
  <c r="A150" i="9"/>
  <c r="A331" i="9"/>
  <c r="A306" i="9"/>
  <c r="A55" i="9"/>
  <c r="A411" i="9"/>
  <c r="A210" i="9"/>
  <c r="A326" i="9"/>
  <c r="A418" i="9"/>
  <c r="A47" i="9"/>
  <c r="A131" i="9"/>
  <c r="A43" i="9"/>
  <c r="A459" i="9"/>
  <c r="A253" i="9"/>
  <c r="A39" i="9"/>
  <c r="A149" i="9"/>
  <c r="A302" i="9"/>
  <c r="A327" i="9"/>
  <c r="A45" i="9"/>
  <c r="A187" i="9"/>
  <c r="A201" i="9"/>
  <c r="A322" i="9"/>
  <c r="A332" i="9"/>
  <c r="A37" i="9"/>
  <c r="A354" i="9"/>
  <c r="A10" i="9"/>
  <c r="A204" i="9"/>
  <c r="A505" i="9"/>
  <c r="A495" i="9"/>
  <c r="A91" i="9"/>
  <c r="A378" i="9"/>
  <c r="A392" i="9"/>
  <c r="A426" i="9"/>
  <c r="A167" i="9"/>
  <c r="A384" i="9"/>
  <c r="A272" i="9"/>
  <c r="A229" i="9"/>
  <c r="A312" i="9"/>
  <c r="A496" i="9"/>
  <c r="A276" i="9"/>
  <c r="A181" i="9"/>
  <c r="A233" i="9"/>
  <c r="A157" i="9"/>
  <c r="A17" i="9"/>
  <c r="A185" i="9"/>
  <c r="A360" i="9"/>
  <c r="A343" i="9"/>
  <c r="A107" i="9"/>
  <c r="A162" i="9"/>
  <c r="A74" i="9"/>
  <c r="A397" i="9"/>
  <c r="A112" i="9"/>
  <c r="A19" i="9"/>
  <c r="A50" i="9"/>
  <c r="A488" i="9"/>
  <c r="A263" i="9"/>
  <c r="A480" i="9"/>
  <c r="A447" i="9"/>
  <c r="A309" i="9"/>
  <c r="A340" i="9"/>
  <c r="A7" i="9"/>
  <c r="A287" i="9"/>
  <c r="A517" i="9"/>
  <c r="A442" i="9"/>
  <c r="A344" i="9"/>
  <c r="A231" i="9"/>
  <c r="A59" i="9"/>
  <c r="A248" i="9"/>
  <c r="A266" i="9"/>
  <c r="A475" i="9"/>
  <c r="A460" i="9"/>
  <c r="A5" i="9"/>
  <c r="A446" i="9"/>
  <c r="A369" i="9"/>
  <c r="A464" i="9"/>
  <c r="A244" i="9"/>
  <c r="A274" i="9"/>
  <c r="A26" i="9"/>
  <c r="A199" i="9"/>
  <c r="A526" i="9"/>
  <c r="A467" i="9"/>
  <c r="A84" i="9"/>
  <c r="A165" i="9"/>
  <c r="A62" i="9"/>
  <c r="A514" i="9"/>
  <c r="A529" i="9"/>
  <c r="A151" i="9"/>
  <c r="A421" i="9"/>
  <c r="A506" i="9"/>
  <c r="A24" i="9"/>
  <c r="A9" i="9"/>
  <c r="A193" i="9"/>
  <c r="A133" i="9"/>
  <c r="A234" i="9"/>
  <c r="A509" i="9"/>
  <c r="A298" i="9"/>
  <c r="A320" i="9"/>
  <c r="A171" i="9"/>
  <c r="A395" i="9"/>
  <c r="A213" i="9"/>
  <c r="A237" i="9"/>
  <c r="A14" i="9"/>
  <c r="A454" i="9"/>
  <c r="A138" i="9"/>
  <c r="A119" i="9"/>
  <c r="A41" i="9"/>
  <c r="A31" i="9"/>
  <c r="A145" i="9"/>
  <c r="A300" i="9"/>
  <c r="A408" i="9"/>
  <c r="A36" i="9"/>
  <c r="A367" i="9"/>
  <c r="A238" i="9"/>
  <c r="A261" i="9"/>
  <c r="A430" i="9"/>
  <c r="A429" i="9"/>
  <c r="A82" i="9"/>
  <c r="A128" i="9"/>
  <c r="A97" i="9"/>
  <c r="A349" i="9"/>
  <c r="A486" i="9"/>
  <c r="A69" i="9"/>
  <c r="A500" i="9"/>
  <c r="A53" i="9"/>
  <c r="A350" i="9"/>
  <c r="A465" i="9"/>
  <c r="A275" i="9"/>
  <c r="A208" i="9"/>
  <c r="A259" i="9"/>
  <c r="A190" i="9"/>
  <c r="A472" i="9"/>
  <c r="A307" i="9"/>
  <c r="A497" i="9"/>
  <c r="A12" i="9"/>
  <c r="A470" i="9"/>
  <c r="A513" i="9"/>
  <c r="A428" i="9"/>
  <c r="A394" i="9"/>
  <c r="A290" i="9"/>
  <c r="A156" i="9"/>
  <c r="A270" i="9"/>
  <c r="A77" i="9"/>
  <c r="A186" i="9"/>
  <c r="A214" i="9"/>
  <c r="A400" i="9"/>
  <c r="A220" i="9"/>
  <c r="A169" i="9"/>
  <c r="A489" i="9"/>
  <c r="A264" i="9"/>
  <c r="A148" i="9"/>
  <c r="A371" i="9"/>
  <c r="A434" i="9"/>
  <c r="A471" i="9"/>
  <c r="A163" i="9"/>
  <c r="A70" i="9"/>
  <c r="A468" i="9"/>
  <c r="A79" i="9"/>
  <c r="A93" i="9"/>
  <c r="A25" i="9"/>
  <c r="A123" i="9"/>
  <c r="A528" i="9"/>
  <c r="A122" i="9"/>
  <c r="A317" i="9"/>
  <c r="A336" i="9"/>
  <c r="A487" i="9"/>
  <c r="A160" i="9"/>
  <c r="A240" i="9"/>
  <c r="A347" i="9"/>
  <c r="A28" i="9"/>
  <c r="A466" i="9"/>
  <c r="A217" i="9"/>
  <c r="A512" i="9"/>
  <c r="A390" i="9"/>
  <c r="A476" i="9"/>
  <c r="A175" i="9"/>
  <c r="A345" i="9"/>
  <c r="A226" i="9"/>
  <c r="A224" i="9"/>
  <c r="A137" i="9"/>
  <c r="A462" i="9"/>
  <c r="A503" i="9"/>
  <c r="A98" i="9"/>
  <c r="A241" i="9"/>
  <c r="A249" i="9"/>
  <c r="A358" i="9"/>
  <c r="A179" i="9"/>
  <c r="A57" i="9"/>
  <c r="A425" i="9"/>
  <c r="A284" i="9"/>
  <c r="A407" i="9"/>
  <c r="A168" i="9"/>
  <c r="A427" i="9"/>
  <c r="A412" i="9"/>
  <c r="A80" i="9"/>
  <c r="A451" i="9"/>
  <c r="A318" i="9"/>
  <c r="A256" i="9"/>
  <c r="A32" i="9"/>
  <c r="A153" i="9"/>
  <c r="A184" i="9"/>
  <c r="A399" i="9"/>
  <c r="A227" i="9"/>
  <c r="A282" i="9"/>
  <c r="A66" i="9"/>
  <c r="A396" i="9"/>
  <c r="A403" i="9"/>
  <c r="A511" i="9"/>
  <c r="A16" i="9"/>
  <c r="A444" i="9"/>
  <c r="A458" i="9"/>
  <c r="A353" i="9"/>
  <c r="A180" i="9"/>
  <c r="A141" i="9"/>
  <c r="A452" i="9"/>
  <c r="A239" i="9"/>
  <c r="A406" i="9"/>
  <c r="A436" i="9"/>
  <c r="A115" i="9"/>
  <c r="A68" i="9"/>
  <c r="A391" i="9"/>
  <c r="A415" i="9"/>
  <c r="A49" i="9"/>
  <c r="A189" i="9"/>
  <c r="A328" i="9"/>
  <c r="A401" i="9"/>
  <c r="A342" i="9"/>
  <c r="A297" i="9"/>
  <c r="A83" i="9"/>
  <c r="A379" i="9"/>
  <c r="A11" i="9"/>
  <c r="A314" i="9"/>
  <c r="A90" i="9"/>
  <c r="A433" i="9"/>
  <c r="A383" i="9"/>
  <c r="A359" i="9"/>
  <c r="A440" i="9"/>
  <c r="A63" i="9"/>
  <c r="A305" i="9"/>
  <c r="A188" i="9"/>
  <c r="A374" i="9"/>
  <c r="A448" i="9"/>
  <c r="A147" i="9"/>
  <c r="A58" i="9"/>
  <c r="A251" i="9"/>
  <c r="A52" i="9"/>
  <c r="A99" i="9"/>
  <c r="A365" i="9"/>
  <c r="A376" i="9"/>
  <c r="A113" i="9"/>
  <c r="A437" i="9"/>
  <c r="A205" i="9"/>
  <c r="A104" i="9"/>
  <c r="A482" i="9"/>
  <c r="A144" i="9"/>
  <c r="A121" i="9"/>
  <c r="A203" i="9"/>
  <c r="A252" i="9"/>
  <c r="A424" i="9"/>
  <c r="A456" i="9"/>
  <c r="A72" i="9"/>
  <c r="A86" i="9"/>
  <c r="A516" i="9"/>
  <c r="A173" i="9"/>
  <c r="A356" i="9"/>
  <c r="A75" i="9"/>
  <c r="A348" i="9"/>
  <c r="A134" i="9"/>
  <c r="A319" i="9"/>
  <c r="A60" i="9"/>
  <c r="A299" i="9"/>
  <c r="A81" i="9"/>
  <c r="A108" i="9"/>
  <c r="A273" i="9"/>
  <c r="A268" i="9"/>
  <c r="A130" i="9"/>
  <c r="A304" i="9"/>
  <c r="A136" i="9"/>
  <c r="A146" i="9"/>
  <c r="A335" i="9"/>
  <c r="A106" i="9"/>
  <c r="A439" i="9"/>
  <c r="A236" i="9"/>
  <c r="A303" i="9"/>
  <c r="A368" i="9"/>
  <c r="A355" i="9"/>
  <c r="A469" i="9"/>
  <c r="A373" i="9"/>
  <c r="A441" i="9"/>
  <c r="A279" i="9"/>
  <c r="A30" i="9"/>
  <c r="A507" i="9"/>
  <c r="A218" i="9"/>
  <c r="A285" i="9"/>
  <c r="A228" i="9"/>
  <c r="A245" i="9"/>
  <c r="A321" i="9"/>
  <c r="A457" i="9"/>
  <c r="A484" i="9"/>
  <c r="A523" i="9"/>
  <c r="A453" i="9"/>
  <c r="A316" i="9"/>
  <c r="A103" i="9"/>
  <c r="A477" i="9"/>
  <c r="A414" i="9"/>
  <c r="A393" i="9"/>
  <c r="A42" i="9"/>
  <c r="A27" i="9"/>
  <c r="A431" i="9"/>
  <c r="A324" i="9"/>
  <c r="A67" i="9"/>
  <c r="A281" i="9"/>
  <c r="A35" i="9"/>
  <c r="A520" i="9"/>
  <c r="A183" i="9"/>
  <c r="A375" i="9"/>
  <c r="A2" i="9"/>
  <c r="A366" i="9"/>
  <c r="A6" i="9"/>
  <c r="A478" i="9"/>
  <c r="A143" i="9"/>
  <c r="A267" i="9"/>
  <c r="A164" i="9"/>
  <c r="A339" i="9"/>
  <c r="A449" i="9"/>
  <c r="A357" i="9"/>
  <c r="A15" i="9"/>
  <c r="A479" i="9"/>
  <c r="A413" i="9"/>
  <c r="A129" i="9"/>
  <c r="A381" i="9"/>
  <c r="A85" i="9"/>
  <c r="A450" i="9"/>
  <c r="A502" i="9"/>
  <c r="A212" i="9"/>
  <c r="A125" i="9"/>
  <c r="A94" i="9"/>
  <c r="A139" i="9"/>
  <c r="A109" i="9"/>
  <c r="A111" i="9"/>
  <c r="A410" i="9"/>
  <c r="A346" i="9"/>
  <c r="A176" i="9"/>
  <c r="A192" i="9"/>
  <c r="A29" i="9"/>
  <c r="A257" i="9"/>
  <c r="A455" i="9"/>
  <c r="A389" i="9"/>
  <c r="A223" i="9"/>
  <c r="A474" i="9"/>
  <c r="A219" i="9"/>
  <c r="A521" i="9"/>
  <c r="A352" i="9"/>
  <c r="A161" i="9"/>
  <c r="A463" i="9"/>
  <c r="A206" i="9"/>
  <c r="A246" i="9"/>
  <c r="A508" i="9"/>
  <c r="A262" i="9"/>
  <c r="A126" i="9"/>
  <c r="A485" i="9"/>
  <c r="A64" i="9"/>
  <c r="A127" i="9"/>
  <c r="A3" i="9"/>
  <c r="A510" i="9"/>
  <c r="A293" i="9"/>
  <c r="A159" i="9"/>
  <c r="A481" i="9"/>
  <c r="A216" i="9"/>
  <c r="A255" i="9"/>
  <c r="A323" i="9"/>
  <c r="A172" i="9"/>
  <c r="A386" i="9"/>
  <c r="A315" i="9"/>
  <c r="A419" i="9"/>
  <c r="A313" i="9"/>
  <c r="A370" i="9"/>
  <c r="A152" i="9"/>
  <c r="A435" i="9"/>
  <c r="A211" i="9"/>
  <c r="A87" i="9"/>
  <c r="A364" i="9"/>
  <c r="A230" i="9"/>
  <c r="A194" i="9"/>
  <c r="A377" i="9"/>
  <c r="A200" i="9"/>
  <c r="A92" i="9"/>
  <c r="A118" i="9"/>
  <c r="A202" i="9"/>
  <c r="A518" i="9"/>
  <c r="A387" i="9"/>
  <c r="A198" i="9"/>
  <c r="A56" i="9"/>
  <c r="A34" i="9"/>
  <c r="A311" i="9"/>
  <c r="A380" i="9"/>
  <c r="A438" i="9"/>
  <c r="A291" i="9"/>
  <c r="A22" i="9"/>
  <c r="A289" i="9"/>
  <c r="A405" i="9"/>
  <c r="A286" i="9"/>
  <c r="A280" i="9"/>
  <c r="A499" i="9"/>
  <c r="A420" i="9"/>
  <c r="A215" i="9"/>
  <c r="A490" i="9"/>
  <c r="A295" i="9"/>
  <c r="A361" i="9"/>
  <c r="A443" i="9"/>
  <c r="A166" i="9"/>
  <c r="A197" i="9"/>
  <c r="A310" i="9"/>
  <c r="A515" i="9"/>
  <c r="A288" i="9"/>
  <c r="A416" i="9"/>
  <c r="A404" i="9"/>
  <c r="A38" i="9"/>
  <c r="A258" i="9"/>
  <c r="A225" i="9"/>
  <c r="A132" i="9"/>
  <c r="A232" i="9"/>
  <c r="A101" i="9"/>
  <c r="A102" i="9"/>
  <c r="A78" i="9"/>
  <c r="A522" i="9"/>
  <c r="A191" i="9"/>
  <c r="A363" i="9"/>
  <c r="A525" i="9"/>
  <c r="A432" i="9"/>
  <c r="A283" i="9"/>
  <c r="A13" i="9"/>
  <c r="A329" i="9"/>
  <c r="A221" i="9"/>
  <c r="A73" i="9"/>
  <c r="A501" i="9"/>
  <c r="A494" i="9"/>
  <c r="A402" i="9"/>
  <c r="A385" i="9"/>
  <c r="A409" i="9"/>
  <c r="A154" i="9"/>
  <c r="A398" i="9"/>
  <c r="A89" i="9"/>
  <c r="A96" i="9"/>
  <c r="A140" i="9"/>
  <c r="A65" i="9"/>
  <c r="A250" i="9"/>
  <c r="A40" i="9"/>
  <c r="A372" i="9"/>
  <c r="A278" i="9"/>
  <c r="A527" i="9"/>
  <c r="A493" i="9"/>
  <c r="A124" i="9"/>
  <c r="A170" i="9"/>
  <c r="A178" i="9"/>
  <c r="A155" i="9"/>
  <c r="A61" i="9"/>
  <c r="A120" i="9"/>
  <c r="A142" i="9"/>
  <c r="A524" i="9"/>
  <c r="A110" i="9"/>
  <c r="A351" i="9"/>
  <c r="A277" i="9"/>
  <c r="A483" i="9"/>
  <c r="A18" i="9"/>
  <c r="A417" i="9"/>
  <c r="E40" i="16" l="1"/>
  <c r="EU5" i="8"/>
  <c r="ET4" i="8" s="1"/>
  <c r="EU4" i="8" s="1"/>
  <c r="L28" i="8"/>
  <c r="M22" i="18"/>
  <c r="J22" i="18"/>
  <c r="I23" i="18"/>
  <c r="D70" i="16"/>
  <c r="EJ3" i="8"/>
  <c r="EJ89" i="8"/>
  <c r="EJ93" i="8"/>
  <c r="I24" i="18"/>
  <c r="I22" i="18"/>
  <c r="I21" i="18"/>
  <c r="EJ107" i="8"/>
  <c r="I33" i="18"/>
  <c r="EJ152" i="8"/>
  <c r="I35" i="18"/>
  <c r="L21" i="18"/>
  <c r="J23" i="18"/>
  <c r="D66" i="16"/>
  <c r="EJ141" i="8"/>
  <c r="K23" i="18"/>
  <c r="D64" i="16"/>
  <c r="EJ46" i="8"/>
  <c r="K21" i="18"/>
  <c r="I20" i="18"/>
  <c r="EJ167" i="8"/>
  <c r="EJ17" i="8"/>
  <c r="EJ75" i="8"/>
  <c r="D68" i="16"/>
  <c r="EJ178" i="8"/>
  <c r="EJ156" i="8"/>
  <c r="EJ31" i="8"/>
  <c r="K33" i="18"/>
  <c r="EJ122" i="8"/>
  <c r="I19" i="18"/>
  <c r="D81" i="7"/>
  <c r="L22" i="18"/>
  <c r="EJ60" i="8"/>
  <c r="K22" i="18"/>
  <c r="AR12" i="16"/>
  <c r="EX4" i="8"/>
  <c r="EY4" i="8" s="1"/>
  <c r="C62" i="7" s="1"/>
  <c r="K20" i="18"/>
  <c r="M21" i="18"/>
  <c r="EJ126" i="8"/>
  <c r="J21" i="18"/>
  <c r="EE3" i="8"/>
  <c r="ED3" i="8"/>
  <c r="EB3" i="8"/>
  <c r="EG3" i="8"/>
  <c r="M28" i="8"/>
  <c r="K28" i="8"/>
  <c r="N28" i="8"/>
  <c r="J28" i="8"/>
  <c r="C137" i="7"/>
  <c r="E72" i="13"/>
  <c r="CS30" i="8"/>
  <c r="FM6" i="8"/>
  <c r="BK4" i="8"/>
  <c r="C37" i="18"/>
  <c r="FJ4" i="8"/>
  <c r="CY6" i="8"/>
  <c r="E62" i="13"/>
  <c r="AD3" i="8"/>
  <c r="E8" i="14"/>
  <c r="E18" i="14"/>
  <c r="CY3" i="8"/>
  <c r="EK40" i="8"/>
  <c r="EK43" i="8"/>
  <c r="EK6" i="8"/>
  <c r="EK42" i="8"/>
  <c r="EK41" i="8"/>
  <c r="EK32" i="8" s="1"/>
  <c r="EK5" i="8"/>
  <c r="EK33" i="8"/>
  <c r="E16" i="14"/>
  <c r="E46" i="13"/>
  <c r="DV4" i="8"/>
  <c r="EJ144" i="8"/>
  <c r="EJ42" i="8"/>
  <c r="EJ43" i="8"/>
  <c r="EJ33" i="8"/>
  <c r="EJ41" i="8"/>
  <c r="EJ32" i="8" s="1"/>
  <c r="EJ143" i="8"/>
  <c r="EJ6" i="8"/>
  <c r="EJ40" i="8"/>
  <c r="EJ5" i="8"/>
  <c r="CS19" i="8"/>
  <c r="E70" i="14"/>
  <c r="C35" i="18"/>
  <c r="C21" i="18"/>
  <c r="E68" i="14"/>
  <c r="E43" i="14"/>
  <c r="I13" i="18"/>
  <c r="CM5" i="8"/>
  <c r="AG22" i="8"/>
  <c r="M34" i="14"/>
  <c r="X4" i="8"/>
  <c r="C31" i="18"/>
  <c r="C24" i="18"/>
  <c r="X11" i="8"/>
  <c r="E5" i="16"/>
  <c r="E5" i="14"/>
  <c r="E5" i="13"/>
  <c r="E54" i="14"/>
  <c r="Z26" i="13"/>
  <c r="EJ147" i="8"/>
  <c r="EJ149" i="8"/>
  <c r="EJ8" i="8"/>
  <c r="EJ10" i="8"/>
  <c r="EJ9" i="8"/>
  <c r="EJ146" i="8"/>
  <c r="E16" i="13"/>
  <c r="X13" i="8"/>
  <c r="BP3" i="8"/>
  <c r="T37" i="14" s="1"/>
  <c r="M43" i="14"/>
  <c r="C145" i="7" s="1"/>
  <c r="E60" i="13"/>
  <c r="FB6" i="8"/>
  <c r="AW26" i="8"/>
  <c r="AW11" i="8" s="1"/>
  <c r="C91" i="13"/>
  <c r="I6" i="18"/>
  <c r="AW39" i="8"/>
  <c r="C27" i="18"/>
  <c r="C7" i="18"/>
  <c r="AG12" i="8"/>
  <c r="AO28" i="8"/>
  <c r="AG6" i="8"/>
  <c r="AD28" i="14"/>
  <c r="AE36" i="13"/>
  <c r="CS12" i="8"/>
  <c r="I12" i="18"/>
  <c r="FE4" i="8"/>
  <c r="E32" i="18"/>
  <c r="CQ4" i="8"/>
  <c r="CS9" i="8"/>
  <c r="AW23" i="8"/>
  <c r="AW8" i="8" s="1"/>
  <c r="AW17" i="8"/>
  <c r="AG15" i="8"/>
  <c r="C33" i="18"/>
  <c r="C13" i="18"/>
  <c r="EJ180" i="8"/>
  <c r="EM50" i="8"/>
  <c r="EM48" i="8"/>
  <c r="EM65" i="8"/>
  <c r="EM49" i="8"/>
  <c r="EJ183" i="8"/>
  <c r="EM64" i="8"/>
  <c r="EM70" i="8"/>
  <c r="EM51" i="8"/>
  <c r="EJ184" i="8"/>
  <c r="EM54" i="8"/>
  <c r="EM68" i="8"/>
  <c r="EM7" i="8"/>
  <c r="EM38" i="8"/>
  <c r="EM62" i="8"/>
  <c r="EM66" i="8"/>
  <c r="EJ185" i="8"/>
  <c r="EM56" i="8"/>
  <c r="EM53" i="8"/>
  <c r="EJ182" i="8"/>
  <c r="EM55" i="8"/>
  <c r="EM57" i="8"/>
  <c r="EM52" i="8"/>
  <c r="DG3" i="8"/>
  <c r="EL5" i="8"/>
  <c r="EL42" i="8"/>
  <c r="EL33" i="8"/>
  <c r="EL6" i="8"/>
  <c r="EL43" i="8"/>
  <c r="EL40" i="8"/>
  <c r="EL41" i="8"/>
  <c r="EL32" i="8" s="1"/>
  <c r="EJ175" i="8"/>
  <c r="EJ174" i="8"/>
  <c r="EJ171" i="8"/>
  <c r="EL53" i="8"/>
  <c r="EL68" i="8"/>
  <c r="EJ169" i="8"/>
  <c r="EL56" i="8"/>
  <c r="EJ172" i="8"/>
  <c r="EL55" i="8"/>
  <c r="EL57" i="8"/>
  <c r="EL38" i="8"/>
  <c r="EL49" i="8"/>
  <c r="EL54" i="8"/>
  <c r="EL52" i="8"/>
  <c r="EL70" i="8"/>
  <c r="EL50" i="8"/>
  <c r="EL51" i="8"/>
  <c r="EJ170" i="8"/>
  <c r="EL7" i="8"/>
  <c r="EL48" i="8"/>
  <c r="EL65" i="8"/>
  <c r="EJ173" i="8"/>
  <c r="EL66" i="8"/>
  <c r="EL62" i="8"/>
  <c r="EL64" i="8"/>
  <c r="AE44" i="13"/>
  <c r="C44" i="18"/>
  <c r="CS22" i="8"/>
  <c r="I36" i="18"/>
  <c r="AO30" i="8"/>
  <c r="I38" i="18"/>
  <c r="I9" i="18"/>
  <c r="FI5" i="8"/>
  <c r="E20" i="14"/>
  <c r="CS20" i="8"/>
  <c r="Z28" i="13"/>
  <c r="DY3" i="8"/>
  <c r="EJ81" i="8"/>
  <c r="EJ80" i="8"/>
  <c r="DM3" i="8"/>
  <c r="EJ82" i="8"/>
  <c r="EJ132" i="8"/>
  <c r="DD4" i="8"/>
  <c r="EJ130" i="8"/>
  <c r="EJ109" i="8"/>
  <c r="EJ111" i="8"/>
  <c r="EJ131" i="8"/>
  <c r="EJ128" i="8"/>
  <c r="EJ134" i="8"/>
  <c r="EJ110" i="8"/>
  <c r="EJ136" i="8"/>
  <c r="EJ123" i="8"/>
  <c r="AB39" i="14"/>
  <c r="CS3" i="8"/>
  <c r="I5" i="18"/>
  <c r="AD4" i="8"/>
  <c r="CS7" i="8"/>
  <c r="W54" i="14"/>
  <c r="C22" i="18"/>
  <c r="E24" i="13"/>
  <c r="CS24" i="8"/>
  <c r="FL4" i="8"/>
  <c r="E26" i="14"/>
  <c r="E25" i="18"/>
  <c r="BE7" i="8"/>
  <c r="B2" i="18"/>
  <c r="CJ5" i="8"/>
  <c r="CS23" i="8"/>
  <c r="DX3" i="8"/>
  <c r="I32" i="18"/>
  <c r="FF4" i="8"/>
  <c r="BA16" i="8"/>
  <c r="E50" i="14"/>
  <c r="AW33" i="8"/>
  <c r="CQ6" i="8"/>
  <c r="E22" i="13"/>
  <c r="CS26" i="8"/>
  <c r="AD60" i="13"/>
  <c r="T86" i="13" s="1"/>
  <c r="CS21" i="8"/>
  <c r="AG16" i="8"/>
  <c r="FB4" i="8"/>
  <c r="E64" i="13"/>
  <c r="E78" i="13"/>
  <c r="X10" i="8"/>
  <c r="AO27" i="8"/>
  <c r="X15" i="8"/>
  <c r="V60" i="13"/>
  <c r="DR24" i="8"/>
  <c r="AO23" i="8"/>
  <c r="AW34" i="8"/>
  <c r="CS15" i="8"/>
  <c r="FB8" i="8"/>
  <c r="FI4" i="8"/>
  <c r="AG18" i="8"/>
  <c r="I30" i="18"/>
  <c r="BE6" i="8"/>
  <c r="AE40" i="13"/>
  <c r="W51" i="14"/>
  <c r="E14" i="13"/>
  <c r="AG11" i="8"/>
  <c r="CQ5" i="8"/>
  <c r="CS25" i="8"/>
  <c r="AW31" i="8"/>
  <c r="E60" i="14"/>
  <c r="C51" i="18" s="1"/>
  <c r="FD4" i="8"/>
  <c r="CS11" i="8"/>
  <c r="C49" i="18"/>
  <c r="FD5" i="8"/>
  <c r="C17" i="18"/>
  <c r="AD30" i="13"/>
  <c r="X16" i="8"/>
  <c r="AG17" i="8"/>
  <c r="AK8" i="13"/>
  <c r="E34" i="13"/>
  <c r="CS29" i="8"/>
  <c r="FG4" i="8"/>
  <c r="DV5" i="8"/>
  <c r="E86" i="16"/>
  <c r="AO24" i="8"/>
  <c r="L29" i="8"/>
  <c r="AS62" i="13" s="1"/>
  <c r="K29" i="8"/>
  <c r="AR62" i="13" s="1"/>
  <c r="FI6" i="8"/>
  <c r="CS6" i="8"/>
  <c r="U18" i="8"/>
  <c r="AS86" i="13" s="1"/>
  <c r="FF5" i="8"/>
  <c r="U13" i="8"/>
  <c r="AR68" i="13" s="1"/>
  <c r="U14" i="8"/>
  <c r="AS68" i="13" s="1"/>
  <c r="CS8" i="8"/>
  <c r="FC4" i="8"/>
  <c r="FB9" i="8"/>
  <c r="B66" i="18"/>
  <c r="CS16" i="8"/>
  <c r="CS28" i="8"/>
  <c r="E32" i="14"/>
  <c r="N60" i="13"/>
  <c r="E86" i="13" s="1"/>
  <c r="I31" i="18"/>
  <c r="DR27" i="8"/>
  <c r="AG4" i="8"/>
  <c r="I15" i="18"/>
  <c r="X9" i="8"/>
  <c r="CS14" i="8"/>
  <c r="C14" i="18"/>
  <c r="CK5" i="8"/>
  <c r="CM4" i="8"/>
  <c r="C5" i="18"/>
  <c r="AA3" i="8"/>
  <c r="G42" i="18"/>
  <c r="C9" i="18"/>
  <c r="E84" i="13"/>
  <c r="Z24" i="13"/>
  <c r="DY5" i="8"/>
  <c r="AW29" i="8"/>
  <c r="AW14" i="8" s="1"/>
  <c r="AW25" i="8"/>
  <c r="AW10" i="8" s="1"/>
  <c r="C43" i="18"/>
  <c r="I17" i="18"/>
  <c r="FG5" i="8"/>
  <c r="U22" i="8"/>
  <c r="CQ7" i="8"/>
  <c r="C19" i="18"/>
  <c r="AO22" i="8"/>
  <c r="C47" i="18"/>
  <c r="FK5" i="8"/>
  <c r="E72" i="14"/>
  <c r="X12" i="8"/>
  <c r="CS5" i="8"/>
  <c r="C25" i="18"/>
  <c r="CY4" i="8"/>
  <c r="L66" i="18"/>
  <c r="CS13" i="8"/>
  <c r="CQ3" i="8"/>
  <c r="AG7" i="8"/>
  <c r="E56" i="14"/>
  <c r="AW20" i="8"/>
  <c r="AW5" i="8" s="1"/>
  <c r="B3" i="8"/>
  <c r="E74" i="16"/>
  <c r="EJ160" i="8"/>
  <c r="EK34" i="8"/>
  <c r="EJ39" i="8"/>
  <c r="EJ37" i="8"/>
  <c r="EJ161" i="8"/>
  <c r="EJ164" i="8"/>
  <c r="EJ34" i="8"/>
  <c r="EJ36" i="8"/>
  <c r="E10" i="14"/>
  <c r="E36" i="13"/>
  <c r="EK170" i="8"/>
  <c r="EJ90" i="8"/>
  <c r="EJ101" i="8"/>
  <c r="EK143" i="8"/>
  <c r="EJ79" i="8"/>
  <c r="EJ77" i="8"/>
  <c r="EK169" i="8"/>
  <c r="EK184" i="8"/>
  <c r="EK164" i="8"/>
  <c r="EK159" i="8"/>
  <c r="EK171" i="8"/>
  <c r="EK162" i="8"/>
  <c r="EJ95" i="8"/>
  <c r="EK175" i="8"/>
  <c r="EK160" i="8"/>
  <c r="EK145" i="8"/>
  <c r="EK161" i="8"/>
  <c r="EK158" i="8"/>
  <c r="EJ97" i="8"/>
  <c r="EK172" i="8"/>
  <c r="EK180" i="8"/>
  <c r="EK183" i="8"/>
  <c r="EK182" i="8"/>
  <c r="EK173" i="8"/>
  <c r="EJ98" i="8"/>
  <c r="EK174" i="8"/>
  <c r="DJ3" i="8"/>
  <c r="EK144" i="8"/>
  <c r="EK163" i="8"/>
  <c r="EJ78" i="8"/>
  <c r="EJ99" i="8"/>
  <c r="EK185" i="8"/>
  <c r="C20" i="18"/>
  <c r="C8" i="18"/>
  <c r="E40" i="13"/>
  <c r="E8" i="13"/>
  <c r="EK146" i="8"/>
  <c r="DM4" i="8"/>
  <c r="EK147" i="8"/>
  <c r="EK80" i="8"/>
  <c r="EK81" i="8"/>
  <c r="EK82" i="8"/>
  <c r="EK149" i="8"/>
  <c r="CS27" i="8"/>
  <c r="E56" i="18"/>
  <c r="E57" i="18"/>
  <c r="C53" i="18"/>
  <c r="E54" i="18"/>
  <c r="C54" i="18"/>
  <c r="D55" i="18"/>
  <c r="D54" i="18"/>
  <c r="C56" i="18"/>
  <c r="C57" i="18"/>
  <c r="C55" i="18"/>
  <c r="CJ3" i="8"/>
  <c r="E55" i="18"/>
  <c r="BN6" i="8"/>
  <c r="X14" i="8"/>
  <c r="AW38" i="8"/>
  <c r="AW37" i="8"/>
  <c r="E30" i="14"/>
  <c r="FB7" i="8"/>
  <c r="AG9" i="8"/>
  <c r="X6" i="8"/>
  <c r="FH4" i="8"/>
  <c r="AW16" i="8"/>
  <c r="C16" i="18"/>
  <c r="AD5" i="8"/>
  <c r="C48" i="18"/>
  <c r="EL34" i="8"/>
  <c r="DV3" i="8"/>
  <c r="AO26" i="8"/>
  <c r="K31" i="18"/>
  <c r="EK98" i="8"/>
  <c r="EK90" i="8"/>
  <c r="K28" i="18"/>
  <c r="EK95" i="8"/>
  <c r="EK101" i="8"/>
  <c r="EK78" i="8"/>
  <c r="K35" i="18"/>
  <c r="EK97" i="8"/>
  <c r="EK77" i="8"/>
  <c r="DJ4" i="8"/>
  <c r="EK79" i="8"/>
  <c r="EK99" i="8"/>
  <c r="C28" i="18"/>
  <c r="Q40" i="13"/>
  <c r="X86" i="16"/>
  <c r="X5" i="8"/>
  <c r="I27" i="18"/>
  <c r="EK9" i="8"/>
  <c r="EK10" i="8"/>
  <c r="EK8" i="8"/>
  <c r="AW21" i="8"/>
  <c r="AW6" i="8" s="1"/>
  <c r="AA4" i="8"/>
  <c r="B4" i="8"/>
  <c r="AG19" i="8"/>
  <c r="DY6" i="8"/>
  <c r="C23" i="18"/>
  <c r="W70" i="14"/>
  <c r="EL8" i="8"/>
  <c r="EL10" i="8"/>
  <c r="EL9" i="8"/>
  <c r="FC5" i="8"/>
  <c r="AW24" i="8"/>
  <c r="AW9" i="8" s="1"/>
  <c r="E8" i="16"/>
  <c r="E10" i="16"/>
  <c r="E66" i="13"/>
  <c r="FK4" i="8"/>
  <c r="E68" i="13"/>
  <c r="CJ4" i="8"/>
  <c r="E13" i="13"/>
  <c r="C18" i="18"/>
  <c r="E39" i="14"/>
  <c r="I26" i="18"/>
  <c r="E46" i="14"/>
  <c r="CJ6" i="8"/>
  <c r="E62" i="14"/>
  <c r="CS17" i="8"/>
  <c r="CS10" i="8"/>
  <c r="CS31" i="8"/>
  <c r="C26" i="18"/>
  <c r="E41" i="14"/>
  <c r="E28" i="14"/>
  <c r="AG3" i="8"/>
  <c r="EJ70" i="8"/>
  <c r="EJ51" i="8"/>
  <c r="EJ57" i="8"/>
  <c r="EJ64" i="8"/>
  <c r="EJ54" i="8"/>
  <c r="EJ68" i="8"/>
  <c r="EJ52" i="8"/>
  <c r="EJ50" i="8"/>
  <c r="EJ56" i="8"/>
  <c r="EJ38" i="8"/>
  <c r="EJ49" i="8"/>
  <c r="EJ48" i="8"/>
  <c r="EJ66" i="8"/>
  <c r="EJ55" i="8"/>
  <c r="EJ65" i="8"/>
  <c r="EJ62" i="8"/>
  <c r="EJ53" i="8"/>
  <c r="EJ7" i="8"/>
  <c r="C30" i="18"/>
  <c r="CD4" i="8"/>
  <c r="E54" i="13"/>
  <c r="BK3" i="8"/>
  <c r="AL72" i="14"/>
  <c r="EK136" i="8"/>
  <c r="EL169" i="8"/>
  <c r="EL145" i="8"/>
  <c r="EL172" i="8"/>
  <c r="EL149" i="8"/>
  <c r="DD3" i="8"/>
  <c r="EL160" i="8"/>
  <c r="EL131" i="8"/>
  <c r="EL128" i="8"/>
  <c r="EL146" i="8"/>
  <c r="EL136" i="8"/>
  <c r="EL164" i="8"/>
  <c r="EK123" i="8"/>
  <c r="EL148" i="8"/>
  <c r="EL143" i="8"/>
  <c r="EL161" i="8"/>
  <c r="EL158" i="8"/>
  <c r="EK134" i="8"/>
  <c r="EL173" i="8"/>
  <c r="EK128" i="8"/>
  <c r="EL162" i="8"/>
  <c r="EK111" i="8"/>
  <c r="EL174" i="8"/>
  <c r="EK130" i="8"/>
  <c r="EL147" i="8"/>
  <c r="EL134" i="8"/>
  <c r="EL130" i="8"/>
  <c r="EL171" i="8"/>
  <c r="EL144" i="8"/>
  <c r="EL132" i="8"/>
  <c r="EK109" i="8"/>
  <c r="EL159" i="8"/>
  <c r="EK131" i="8"/>
  <c r="EK110" i="8"/>
  <c r="EK132" i="8"/>
  <c r="EL163" i="8"/>
  <c r="CS18" i="8"/>
  <c r="E74" i="13"/>
  <c r="EJ13" i="8"/>
  <c r="EJ12" i="8"/>
  <c r="EJ11" i="8"/>
  <c r="EJ148" i="8"/>
  <c r="EJ14" i="8"/>
  <c r="E24" i="14"/>
  <c r="AG8" i="8"/>
  <c r="E3" i="13"/>
  <c r="E3" i="16"/>
  <c r="E3" i="14"/>
  <c r="E76" i="14"/>
  <c r="B65" i="18"/>
  <c r="AW3" i="8"/>
  <c r="E24" i="18"/>
  <c r="EJ163" i="8"/>
  <c r="C11" i="18"/>
  <c r="AE42" i="13"/>
  <c r="AO29" i="8"/>
  <c r="E30" i="13"/>
  <c r="C90" i="13"/>
  <c r="I7" i="18"/>
  <c r="X7" i="8"/>
  <c r="AL74" i="14"/>
  <c r="CP8" i="8"/>
  <c r="CQ8" i="8"/>
  <c r="BS5" i="8"/>
  <c r="AG13" i="8"/>
  <c r="BE5" i="8"/>
  <c r="E28" i="13"/>
  <c r="DY4" i="8"/>
  <c r="W43" i="14"/>
  <c r="AW22" i="8"/>
  <c r="AW7" i="8" s="1"/>
  <c r="C89" i="13"/>
  <c r="Z22" i="13"/>
  <c r="L65" i="18"/>
  <c r="FM4" i="8"/>
  <c r="FB5" i="8"/>
  <c r="EN69" i="8"/>
  <c r="EN63" i="8"/>
  <c r="EN71" i="8"/>
  <c r="EN67" i="8"/>
  <c r="E66" i="14"/>
  <c r="I8" i="18"/>
  <c r="AW27" i="8"/>
  <c r="AW12" i="8" s="1"/>
  <c r="V36" i="13"/>
  <c r="AO25" i="8"/>
  <c r="E36" i="14"/>
  <c r="BE4" i="8"/>
  <c r="CY5" i="8"/>
  <c r="I14" i="18"/>
  <c r="AK93" i="13"/>
  <c r="AK98" i="16"/>
  <c r="AK83" i="14"/>
  <c r="AW32" i="8"/>
  <c r="AG10" i="8"/>
  <c r="AG23" i="8"/>
  <c r="C40" i="18"/>
  <c r="E76" i="13"/>
  <c r="DX4" i="8"/>
  <c r="AC8" i="13"/>
  <c r="CM3" i="8"/>
  <c r="CK6" i="8"/>
  <c r="X3" i="8"/>
  <c r="CK7" i="8"/>
  <c r="CS4" i="8"/>
  <c r="I16" i="18"/>
  <c r="E14" i="14"/>
  <c r="C29" i="18"/>
  <c r="BX3" i="8"/>
  <c r="FE5" i="8"/>
  <c r="E70" i="13"/>
  <c r="C15" i="18"/>
  <c r="E12" i="14"/>
  <c r="AG21" i="8"/>
  <c r="AG5" i="8"/>
  <c r="I37" i="18"/>
  <c r="AO21" i="8"/>
  <c r="C10" i="18"/>
  <c r="BA17" i="8"/>
  <c r="E52" i="14"/>
  <c r="C3" i="18"/>
  <c r="AW36" i="8"/>
  <c r="FM5" i="8"/>
  <c r="C32" i="18"/>
  <c r="AW28" i="8"/>
  <c r="AW13" i="8" s="1"/>
  <c r="C45" i="18"/>
  <c r="AW19" i="8"/>
  <c r="AW4" i="8" s="1"/>
  <c r="F42" i="18"/>
  <c r="EK64" i="8"/>
  <c r="EK38" i="8"/>
  <c r="EK57" i="8"/>
  <c r="EK51" i="8"/>
  <c r="EK62" i="8"/>
  <c r="EK48" i="8"/>
  <c r="EJ145" i="8"/>
  <c r="EJ162" i="8"/>
  <c r="EK52" i="8"/>
  <c r="EK7" i="8"/>
  <c r="EK68" i="8"/>
  <c r="EK66" i="8"/>
  <c r="EK56" i="8"/>
  <c r="EK65" i="8"/>
  <c r="EK49" i="8"/>
  <c r="EK54" i="8"/>
  <c r="EK53" i="8"/>
  <c r="EK55" i="8"/>
  <c r="EK50" i="8"/>
  <c r="EK70" i="8"/>
  <c r="AA8" i="13"/>
  <c r="AG20" i="8"/>
  <c r="I28" i="18"/>
  <c r="FH5" i="8"/>
  <c r="CD3" i="8"/>
  <c r="W55" i="14"/>
  <c r="E64" i="14"/>
  <c r="E82" i="13"/>
  <c r="AW35" i="8"/>
  <c r="AG14" i="8"/>
  <c r="X8" i="8"/>
  <c r="E42" i="18"/>
  <c r="EN61" i="8" l="1"/>
  <c r="EJ4" i="8"/>
  <c r="I29" i="18"/>
  <c r="I25" i="18"/>
  <c r="EJ47" i="8"/>
  <c r="EK47" i="8"/>
  <c r="I18" i="18"/>
  <c r="EM47" i="8"/>
  <c r="EL47" i="8"/>
  <c r="EK157" i="8"/>
  <c r="EK179" i="8"/>
  <c r="EK168" i="8"/>
  <c r="EL127" i="8"/>
  <c r="EJ168" i="8"/>
  <c r="EK142" i="8"/>
  <c r="EL168" i="8"/>
  <c r="EJ179" i="8"/>
  <c r="EL142" i="8"/>
  <c r="EJ142" i="8"/>
  <c r="EL157" i="8"/>
  <c r="EJ94" i="8"/>
  <c r="EK108" i="8"/>
  <c r="EM4" i="8"/>
  <c r="EJ127" i="8"/>
  <c r="EL4" i="8"/>
  <c r="EL61" i="8"/>
  <c r="EM18" i="8"/>
  <c r="EK4" i="8"/>
  <c r="EK94" i="8"/>
  <c r="EK61" i="8"/>
  <c r="EK18" i="8"/>
  <c r="EM61" i="8"/>
  <c r="EK127" i="8"/>
  <c r="EJ18" i="8"/>
  <c r="EL18" i="8"/>
  <c r="EK76" i="8"/>
  <c r="EM32" i="8"/>
  <c r="EJ61" i="8"/>
  <c r="EJ108" i="8"/>
  <c r="EJ76" i="8"/>
  <c r="D78" i="7"/>
  <c r="D79" i="7"/>
  <c r="EJ35" i="8"/>
  <c r="EJ159" i="8" s="1"/>
  <c r="K26" i="18"/>
  <c r="C81" i="7"/>
  <c r="BA4" i="8"/>
  <c r="BA3" i="8"/>
  <c r="BA5" i="8"/>
  <c r="BA6" i="8"/>
  <c r="BA7" i="8"/>
  <c r="E41" i="13"/>
  <c r="CK2" i="8"/>
  <c r="AS70" i="13"/>
  <c r="AS30" i="14"/>
  <c r="C94" i="16"/>
  <c r="C79" i="14"/>
  <c r="V20" i="14"/>
  <c r="C95" i="16"/>
  <c r="C80" i="14"/>
  <c r="C96" i="16"/>
  <c r="C81" i="14"/>
  <c r="EJ158" i="8" l="1"/>
  <c r="EJ157" i="8" s="1"/>
</calcChain>
</file>

<file path=xl/comments1.xml><?xml version="1.0" encoding="utf-8"?>
<comments xmlns="http://schemas.openxmlformats.org/spreadsheetml/2006/main">
  <authors>
    <author>Mario Graf</author>
  </authors>
  <commentList>
    <comment ref="AT1" authorId="0" shapeId="0">
      <text>
        <r>
          <rPr>
            <b/>
            <sz val="8"/>
            <color indexed="81"/>
            <rFont val="Tahoma"/>
            <family val="2"/>
          </rPr>
          <t>Wird nicht mehr verwendet?</t>
        </r>
      </text>
    </comment>
    <comment ref="AW1" authorId="0" shapeId="0">
      <text>
        <r>
          <rPr>
            <b/>
            <sz val="8"/>
            <color indexed="81"/>
            <rFont val="Tahoma"/>
            <family val="2"/>
          </rPr>
          <t>Abhängig von der gewählten Druckstufe auf Eingabe Seite 2 (M16)</t>
        </r>
      </text>
    </comment>
    <comment ref="BX1" authorId="0" shapeId="0">
      <text>
        <r>
          <rPr>
            <b/>
            <sz val="8"/>
            <color indexed="81"/>
            <rFont val="Tahoma"/>
            <family val="2"/>
          </rPr>
          <t>Anpassen siehe Alte TQ Version</t>
        </r>
      </text>
    </comment>
    <comment ref="BB3" authorId="0" shapeId="0">
      <text>
        <r>
          <rPr>
            <b/>
            <sz val="8"/>
            <color indexed="81"/>
            <rFont val="Tahoma"/>
            <family val="2"/>
          </rPr>
          <t>Wird in keiner Formel verwendet?</t>
        </r>
        <r>
          <rPr>
            <sz val="8"/>
            <color indexed="81"/>
            <rFont val="Tahoma"/>
            <family val="2"/>
          </rPr>
          <t xml:space="preserve">
</t>
        </r>
      </text>
    </comment>
  </commentList>
</comments>
</file>

<file path=xl/comments2.xml><?xml version="1.0" encoding="utf-8"?>
<comments xmlns="http://schemas.openxmlformats.org/spreadsheetml/2006/main">
  <authors>
    <author>Uwe Röhlecke</author>
  </authors>
  <commentList>
    <comment ref="D1" authorId="0" shapeId="0">
      <text>
        <r>
          <rPr>
            <b/>
            <sz val="8"/>
            <color indexed="81"/>
            <rFont val="Tahoma"/>
            <family val="2"/>
          </rPr>
          <t>Uwe Röhlecke:</t>
        </r>
        <r>
          <rPr>
            <sz val="8"/>
            <color indexed="81"/>
            <rFont val="Tahoma"/>
            <family val="2"/>
          </rPr>
          <t xml:space="preserve">
Korrektur 2010/08
Alexey Svotin </t>
        </r>
      </text>
    </comment>
  </commentList>
</comments>
</file>

<file path=xl/sharedStrings.xml><?xml version="1.0" encoding="utf-8"?>
<sst xmlns="http://schemas.openxmlformats.org/spreadsheetml/2006/main" count="2529" uniqueCount="1332">
  <si>
    <t>22</t>
  </si>
  <si>
    <t>26</t>
  </si>
  <si>
    <t>34</t>
  </si>
  <si>
    <t>38</t>
  </si>
  <si>
    <t>G25000</t>
  </si>
  <si>
    <t>G40000</t>
  </si>
  <si>
    <t>D</t>
  </si>
  <si>
    <t>Customer</t>
  </si>
  <si>
    <t>Company</t>
  </si>
  <si>
    <t>Address</t>
  </si>
  <si>
    <t>Name</t>
  </si>
  <si>
    <t>Project</t>
  </si>
  <si>
    <t>Site/Plant/Location</t>
  </si>
  <si>
    <t>Date</t>
  </si>
  <si>
    <t>Phone</t>
  </si>
  <si>
    <t>Fax</t>
  </si>
  <si>
    <t>Condition</t>
  </si>
  <si>
    <t>Min.</t>
  </si>
  <si>
    <t>Normal</t>
  </si>
  <si>
    <t>Max.</t>
  </si>
  <si>
    <t>°C</t>
  </si>
  <si>
    <t>Meter size</t>
  </si>
  <si>
    <t>Flange rating</t>
  </si>
  <si>
    <t>TAG No.</t>
  </si>
  <si>
    <t>m³/h</t>
  </si>
  <si>
    <t>Mass flow rate</t>
  </si>
  <si>
    <t>kg/h</t>
  </si>
  <si>
    <t>Gas velocity</t>
  </si>
  <si>
    <t>m/s</t>
  </si>
  <si>
    <t>Operating pressure</t>
  </si>
  <si>
    <t>bar(g)</t>
  </si>
  <si>
    <t>Molecular weight</t>
  </si>
  <si>
    <t>kg/m³</t>
  </si>
  <si>
    <t>g/mol</t>
  </si>
  <si>
    <t>Design pressure</t>
  </si>
  <si>
    <t>Material</t>
  </si>
  <si>
    <t>4mA</t>
  </si>
  <si>
    <t>20mA</t>
  </si>
  <si>
    <t>Gas composition</t>
  </si>
  <si>
    <t>Compressibility factor</t>
  </si>
  <si>
    <t>Nm³/h</t>
  </si>
  <si>
    <t>Front panel</t>
  </si>
  <si>
    <t>Density (actual condition)</t>
  </si>
  <si>
    <t>Special requirements</t>
  </si>
  <si>
    <t>Natural gas</t>
  </si>
  <si>
    <t>Process gas</t>
  </si>
  <si>
    <t>Flare gas</t>
  </si>
  <si>
    <t>Dry</t>
  </si>
  <si>
    <t>Wet</t>
  </si>
  <si>
    <t>Operating pressure min.</t>
  </si>
  <si>
    <t>Operating pressure norm.</t>
  </si>
  <si>
    <t>Operating pressure max.</t>
  </si>
  <si>
    <t>Test medium</t>
  </si>
  <si>
    <t>Test pressure</t>
  </si>
  <si>
    <t>Engineering units</t>
  </si>
  <si>
    <t>Bidirectional</t>
  </si>
  <si>
    <t>Flange design code</t>
  </si>
  <si>
    <t>Flange class</t>
  </si>
  <si>
    <t>Surface quality</t>
  </si>
  <si>
    <t>HART</t>
  </si>
  <si>
    <t>Analog output error</t>
  </si>
  <si>
    <t>Meter Factor [Impulse]</t>
  </si>
  <si>
    <t>Konfig DO0/AO0 31/32</t>
  </si>
  <si>
    <t>Konfig 33/34</t>
  </si>
  <si>
    <t>Konfig DO1 51/52</t>
  </si>
  <si>
    <t>Konfig DO2 41/42</t>
  </si>
  <si>
    <t>Konfig DO3 81/82</t>
  </si>
  <si>
    <t>Pegel DO0/AO0 31/32</t>
  </si>
  <si>
    <t>Pegel DO1 51/52</t>
  </si>
  <si>
    <t>Pegel DO2 41/42</t>
  </si>
  <si>
    <t>Pegel DO3 81/82</t>
  </si>
  <si>
    <t>Typ DO0/AO0 31/32</t>
  </si>
  <si>
    <t>Typ DO1 51/52</t>
  </si>
  <si>
    <t>Typ DO2 41/42</t>
  </si>
  <si>
    <t>Typ DO3 81/82</t>
  </si>
  <si>
    <t>CL0150</t>
  </si>
  <si>
    <t>CL0300</t>
  </si>
  <si>
    <t>CL0600</t>
  </si>
  <si>
    <t>CL0900</t>
  </si>
  <si>
    <t>CL1500</t>
  </si>
  <si>
    <t>CL2500</t>
  </si>
  <si>
    <t>PN0016</t>
  </si>
  <si>
    <t>PN0025</t>
  </si>
  <si>
    <t>PN0040</t>
  </si>
  <si>
    <t>PN0064</t>
  </si>
  <si>
    <t>PN0100</t>
  </si>
  <si>
    <t>Gas</t>
  </si>
  <si>
    <t>SC 40</t>
  </si>
  <si>
    <t>SC 60</t>
  </si>
  <si>
    <t>SC 80</t>
  </si>
  <si>
    <t>SC 100</t>
  </si>
  <si>
    <t>03</t>
  </si>
  <si>
    <t>04</t>
  </si>
  <si>
    <t>06</t>
  </si>
  <si>
    <t>08</t>
  </si>
  <si>
    <t>10</t>
  </si>
  <si>
    <t>12</t>
  </si>
  <si>
    <t>14</t>
  </si>
  <si>
    <t>16</t>
  </si>
  <si>
    <t>18</t>
  </si>
  <si>
    <t>20</t>
  </si>
  <si>
    <t>24</t>
  </si>
  <si>
    <t>28</t>
  </si>
  <si>
    <t>30</t>
  </si>
  <si>
    <t>32</t>
  </si>
  <si>
    <t>36</t>
  </si>
  <si>
    <t>40</t>
  </si>
  <si>
    <t>Liquid content</t>
  </si>
  <si>
    <t>Corrosive</t>
  </si>
  <si>
    <t>Abrasive</t>
  </si>
  <si>
    <t>Offshore</t>
  </si>
  <si>
    <t>No</t>
  </si>
  <si>
    <t>Sprache</t>
  </si>
  <si>
    <t>Technical Questionnaire</t>
  </si>
  <si>
    <t>Firma</t>
  </si>
  <si>
    <t>Telefon</t>
  </si>
  <si>
    <t>E-Mail</t>
  </si>
  <si>
    <t>Datum</t>
  </si>
  <si>
    <t>Allgemein</t>
  </si>
  <si>
    <t>2path</t>
  </si>
  <si>
    <t>Gas compostion</t>
  </si>
  <si>
    <t>Flow rate (actual)</t>
  </si>
  <si>
    <t>Flow rate (standard)</t>
  </si>
  <si>
    <t>Flowrate a.c.</t>
  </si>
  <si>
    <t>Warning</t>
  </si>
  <si>
    <t>Failure</t>
  </si>
  <si>
    <t>NAMUR</t>
  </si>
  <si>
    <t>Modbus ASCII</t>
  </si>
  <si>
    <t>normally open</t>
  </si>
  <si>
    <t>N</t>
  </si>
  <si>
    <t>S</t>
  </si>
  <si>
    <t>L</t>
  </si>
  <si>
    <t xml:space="preserve"> </t>
  </si>
  <si>
    <t>Density(actual condition)</t>
  </si>
  <si>
    <t>Molekulargewicht</t>
  </si>
  <si>
    <t>Yes</t>
  </si>
  <si>
    <t>Min. design temperature</t>
  </si>
  <si>
    <t>Max. design temperature</t>
  </si>
  <si>
    <t>Auslegungsdruck</t>
  </si>
  <si>
    <t>Meter body</t>
  </si>
  <si>
    <t>Meter body length</t>
  </si>
  <si>
    <t>3D</t>
  </si>
  <si>
    <t>5D</t>
  </si>
  <si>
    <t>XD</t>
  </si>
  <si>
    <t>Calibration</t>
  </si>
  <si>
    <t>1:50</t>
  </si>
  <si>
    <t>Test points</t>
  </si>
  <si>
    <t>min</t>
  </si>
  <si>
    <t>33/34</t>
  </si>
  <si>
    <t>Hardware</t>
  </si>
  <si>
    <t>Ruhepegel</t>
  </si>
  <si>
    <t>Pressure tapping</t>
  </si>
  <si>
    <t>Painting</t>
  </si>
  <si>
    <t>mm</t>
  </si>
  <si>
    <t>Signal processing unit</t>
  </si>
  <si>
    <t>carbon steel</t>
  </si>
  <si>
    <t>stainless steel</t>
  </si>
  <si>
    <t>duplex</t>
  </si>
  <si>
    <t>I.t. c-steel</t>
  </si>
  <si>
    <t>YesNo</t>
  </si>
  <si>
    <t>Cap Material</t>
  </si>
  <si>
    <t>Aluminium</t>
  </si>
  <si>
    <t>Stainless steel</t>
  </si>
  <si>
    <t>3.1 EN 10204</t>
  </si>
  <si>
    <t>smooth finish -0,8</t>
  </si>
  <si>
    <t>R5</t>
  </si>
  <si>
    <t>smooth finish 1,6-3,2</t>
  </si>
  <si>
    <t>smooth finish 3,2-6,3</t>
  </si>
  <si>
    <t>smooth finish 6,3-12,5</t>
  </si>
  <si>
    <t>R1</t>
  </si>
  <si>
    <t>R2</t>
  </si>
  <si>
    <t>R3</t>
  </si>
  <si>
    <t>R4</t>
  </si>
  <si>
    <t>materialtest</t>
  </si>
  <si>
    <t>leakagetest</t>
  </si>
  <si>
    <t>AGA9</t>
  </si>
  <si>
    <t>DVGW</t>
  </si>
  <si>
    <t>mA</t>
  </si>
  <si>
    <t>Pulse</t>
  </si>
  <si>
    <t>Alarm value</t>
  </si>
  <si>
    <t>Date/ Place</t>
  </si>
  <si>
    <t>pressure tapping</t>
  </si>
  <si>
    <t>Standard</t>
  </si>
  <si>
    <t>Exproof</t>
  </si>
  <si>
    <t>Engineering Units</t>
  </si>
  <si>
    <t>Metric</t>
  </si>
  <si>
    <t>Imperial</t>
  </si>
  <si>
    <t>Frontpanel</t>
  </si>
  <si>
    <t>LED</t>
  </si>
  <si>
    <t>LCD</t>
  </si>
  <si>
    <t>ambient air</t>
  </si>
  <si>
    <t>turndown ratio</t>
  </si>
  <si>
    <t>&gt;1:50</t>
  </si>
  <si>
    <t>1:20</t>
  </si>
  <si>
    <t>1:30</t>
  </si>
  <si>
    <t>National type Approval</t>
  </si>
  <si>
    <t>None</t>
  </si>
  <si>
    <t>Status</t>
  </si>
  <si>
    <t>Check reuqest</t>
  </si>
  <si>
    <t>Flow direction</t>
  </si>
  <si>
    <t>normally close</t>
  </si>
  <si>
    <t>analog</t>
  </si>
  <si>
    <t>Open Collectur</t>
  </si>
  <si>
    <t>active</t>
  </si>
  <si>
    <t>passive</t>
  </si>
  <si>
    <t>Velocity of gas</t>
  </si>
  <si>
    <t>Velocity of sound</t>
  </si>
  <si>
    <t>Path configuration</t>
  </si>
  <si>
    <t>Testdruck</t>
  </si>
  <si>
    <t>Number of repetition</t>
  </si>
  <si>
    <t>Testpunkte</t>
  </si>
  <si>
    <t>Bidirektional</t>
  </si>
  <si>
    <t>Duplex</t>
  </si>
  <si>
    <t>customised</t>
  </si>
  <si>
    <t>Analog output scale</t>
  </si>
  <si>
    <t>Check request</t>
  </si>
  <si>
    <t>Open Collector</t>
  </si>
  <si>
    <t>Flüssigkeitsanteil</t>
  </si>
  <si>
    <t>Massendurchfluss</t>
  </si>
  <si>
    <t>Druckentnahme</t>
  </si>
  <si>
    <t>Einheiten</t>
  </si>
  <si>
    <t>Display</t>
  </si>
  <si>
    <t>Nationale Bauartzulassung</t>
  </si>
  <si>
    <t>Impulsfaktor</t>
  </si>
  <si>
    <t>Skalierung Analogausgang</t>
  </si>
  <si>
    <t>Turndown ratio</t>
  </si>
  <si>
    <t>1/m³</t>
  </si>
  <si>
    <t>Analog</t>
  </si>
  <si>
    <t>2D</t>
  </si>
  <si>
    <t>Y</t>
  </si>
  <si>
    <t>Output configuration</t>
  </si>
  <si>
    <t>witnessed by notified body</t>
  </si>
  <si>
    <t>Inner diameter</t>
  </si>
  <si>
    <t>Schedule</t>
  </si>
  <si>
    <t>SC0040</t>
  </si>
  <si>
    <t>SC0060</t>
  </si>
  <si>
    <t>SC0080</t>
  </si>
  <si>
    <t>SC0100</t>
  </si>
  <si>
    <t>Carbon steel</t>
  </si>
  <si>
    <t>LT-carbon steel</t>
  </si>
  <si>
    <t>Customised</t>
  </si>
  <si>
    <t>Customized</t>
  </si>
  <si>
    <t>Leakage test</t>
  </si>
  <si>
    <t>Leakage test pressure</t>
  </si>
  <si>
    <t>Ambient air</t>
  </si>
  <si>
    <t>SPU housing material</t>
  </si>
  <si>
    <t>Flange norm</t>
  </si>
  <si>
    <t>Position:</t>
  </si>
  <si>
    <t>Name:</t>
  </si>
  <si>
    <t>metersize</t>
  </si>
  <si>
    <t>gas</t>
  </si>
  <si>
    <t>condition</t>
  </si>
  <si>
    <t>gascomposition</t>
  </si>
  <si>
    <t>flangedesincode</t>
  </si>
  <si>
    <t>innerDiameter</t>
  </si>
  <si>
    <t>meterbodylength</t>
  </si>
  <si>
    <t>surfacequaltiy</t>
  </si>
  <si>
    <t>material</t>
  </si>
  <si>
    <t>capmaterial</t>
  </si>
  <si>
    <t>materialcertificate</t>
  </si>
  <si>
    <t>Leakagetest</t>
  </si>
  <si>
    <t>painting</t>
  </si>
  <si>
    <t>engineering</t>
  </si>
  <si>
    <t>frontpanel</t>
  </si>
  <si>
    <t>calibration</t>
  </si>
  <si>
    <t>testmedium</t>
  </si>
  <si>
    <t>turndownratio</t>
  </si>
  <si>
    <t>nationaltype</t>
  </si>
  <si>
    <t>flangeratingANSI</t>
  </si>
  <si>
    <t>flangeratingDIN</t>
  </si>
  <si>
    <t>output config</t>
  </si>
  <si>
    <t>gateconfig</t>
  </si>
  <si>
    <t>gcstatus</t>
  </si>
  <si>
    <t>output configuration</t>
  </si>
  <si>
    <t>gcrs485</t>
  </si>
  <si>
    <t>gclevelnana</t>
  </si>
  <si>
    <t>gclevelana</t>
  </si>
  <si>
    <t>gchardwarenamur</t>
  </si>
  <si>
    <t>gchardwareactive</t>
  </si>
  <si>
    <t>Einheit</t>
  </si>
  <si>
    <t>Umrechnung</t>
  </si>
  <si>
    <t>vol %</t>
  </si>
  <si>
    <t>St. Einheit</t>
  </si>
  <si>
    <t>°F</t>
  </si>
  <si>
    <t>(A1-32)/1,8</t>
  </si>
  <si>
    <t>C</t>
  </si>
  <si>
    <t>CF</t>
  </si>
  <si>
    <t>Format</t>
  </si>
  <si>
    <t>ABCD</t>
  </si>
  <si>
    <t xml:space="preserve"> BCD</t>
  </si>
  <si>
    <t xml:space="preserve">  IIA</t>
  </si>
  <si>
    <t>M20</t>
  </si>
  <si>
    <t>NPT</t>
  </si>
  <si>
    <t>BCD</t>
  </si>
  <si>
    <t>IIA</t>
  </si>
  <si>
    <t>1.1120</t>
  </si>
  <si>
    <t>1.4581</t>
  </si>
  <si>
    <t>A352LCC</t>
  </si>
  <si>
    <t>ASTM A 890 G</t>
  </si>
  <si>
    <t>FORMEL</t>
  </si>
  <si>
    <t>0000.0</t>
  </si>
  <si>
    <t>0000,0</t>
  </si>
  <si>
    <t>psi</t>
  </si>
  <si>
    <t>1</t>
  </si>
  <si>
    <t>1/(14,50377)</t>
  </si>
  <si>
    <t>druck</t>
  </si>
  <si>
    <t>bar (g)</t>
  </si>
  <si>
    <t>pathconfig</t>
  </si>
  <si>
    <t>Kind of Gas</t>
  </si>
  <si>
    <t>Operating temperature</t>
  </si>
  <si>
    <t>ANSI</t>
  </si>
  <si>
    <t>abrcor</t>
  </si>
  <si>
    <t>The shown output assignments are standard configurations. Others are possible, pl. have a look to the manual. Use the field "special requirements" to specify changes.</t>
  </si>
  <si>
    <t>1path (available only for ≤ 10")</t>
  </si>
  <si>
    <t>set diameter →</t>
  </si>
  <si>
    <t>Materialzertifikat</t>
  </si>
  <si>
    <t>No coating for Stainless Steel and Duplex</t>
  </si>
  <si>
    <t>of Qmax</t>
  </si>
  <si>
    <t>1.1 x design pressure</t>
  </si>
  <si>
    <t>with integrated volume correction</t>
  </si>
  <si>
    <t>4path</t>
  </si>
  <si>
    <t>Flange design</t>
  </si>
  <si>
    <t>Material test certificate</t>
  </si>
  <si>
    <t>Ex protection</t>
  </si>
  <si>
    <t>Flow rate min.</t>
  </si>
  <si>
    <t>Flow rate max.</t>
  </si>
  <si>
    <t>Please specify</t>
  </si>
  <si>
    <t>Meter factor</t>
  </si>
  <si>
    <t>Hydrostat. Drucktest</t>
  </si>
  <si>
    <t>PN0063</t>
  </si>
  <si>
    <t>Hydrost. pressure test</t>
  </si>
  <si>
    <t>AGA</t>
  </si>
  <si>
    <t>China - PRC</t>
  </si>
  <si>
    <t>Malaysia - SIR</t>
  </si>
  <si>
    <t>Ukraine - UKR</t>
  </si>
  <si>
    <t>Brazil - IMM</t>
  </si>
  <si>
    <t>Germany - PTB</t>
  </si>
  <si>
    <t>Indonesia - MIG</t>
  </si>
  <si>
    <t>Canada - MSC</t>
  </si>
  <si>
    <t>Netherlands - NMI</t>
  </si>
  <si>
    <t>Austria - BEV</t>
  </si>
  <si>
    <t>Romania - BRM</t>
  </si>
  <si>
    <t>Switzerland - MET</t>
  </si>
  <si>
    <t>Serbia - SEB</t>
  </si>
  <si>
    <t>Czechia - CMI</t>
  </si>
  <si>
    <t>alarmvalue</t>
  </si>
  <si>
    <t>psi(g)</t>
  </si>
  <si>
    <t>Language (units)</t>
  </si>
  <si>
    <t>Pfad-Anzahl</t>
  </si>
  <si>
    <t>Design Code</t>
  </si>
  <si>
    <t>designcode</t>
  </si>
  <si>
    <t>Druckstufe</t>
  </si>
  <si>
    <t>SC 20</t>
  </si>
  <si>
    <t>Flange face</t>
  </si>
  <si>
    <t>NACE compatible</t>
  </si>
  <si>
    <t>DIN / EN</t>
  </si>
  <si>
    <t>1/4" NPT female (Meter size = 3": 1/8" NPT female)</t>
  </si>
  <si>
    <t>Two layers epoxy/acrylic, Colour RAL 9002</t>
  </si>
  <si>
    <t>Prüfdruck</t>
  </si>
  <si>
    <t>Haltezeit</t>
  </si>
  <si>
    <t>Holding time</t>
  </si>
  <si>
    <t>Transducers exchangeable under line pressure</t>
  </si>
  <si>
    <t>Druckregler</t>
  </si>
  <si>
    <t>Pressure regulator</t>
  </si>
  <si>
    <t>Max. pressure difference</t>
  </si>
  <si>
    <t>Transducer cover</t>
  </si>
  <si>
    <t>Switch outputs</t>
  </si>
  <si>
    <t>1.5 x design pressure</t>
  </si>
  <si>
    <t>acf/h</t>
  </si>
  <si>
    <t>scf/h</t>
  </si>
  <si>
    <t>lb/h</t>
  </si>
  <si>
    <t>lb/acf</t>
  </si>
  <si>
    <t>1/ft³</t>
  </si>
  <si>
    <t>In case of order, an Instrument data sheet with reference numbers will be created. This data sheet will be submitted with the order acknowledgement.  The reference numbers can be shown in this document.</t>
  </si>
  <si>
    <t>Reference no.</t>
  </si>
  <si>
    <t>Projekt no.</t>
  </si>
  <si>
    <t>Quotation no.</t>
  </si>
  <si>
    <t>Order no.</t>
  </si>
  <si>
    <t>Angebot</t>
  </si>
  <si>
    <t>m</t>
  </si>
  <si>
    <t>ft</t>
  </si>
  <si>
    <t>Air</t>
  </si>
  <si>
    <t>G-Klasse</t>
  </si>
  <si>
    <t>G-class</t>
  </si>
  <si>
    <t>Customer data</t>
  </si>
  <si>
    <t>Basic data</t>
  </si>
  <si>
    <t>Distance to meter</t>
  </si>
  <si>
    <t>Operating conditions</t>
  </si>
  <si>
    <t>Flanschdichtfläche</t>
  </si>
  <si>
    <t>Meter calibration</t>
  </si>
  <si>
    <t>Gas characteristics</t>
  </si>
  <si>
    <t>Aggressive contents</t>
  </si>
  <si>
    <t>Ambient conditions</t>
  </si>
  <si>
    <t>in</t>
  </si>
  <si>
    <t>Einheitensystem</t>
  </si>
  <si>
    <t>CSA Group D T4</t>
  </si>
  <si>
    <t>CSA Group BCD T4</t>
  </si>
  <si>
    <t>ATEX IIA T4 (M20x1.5)</t>
  </si>
  <si>
    <t>ATEX IIC T4 (M20x1.5)</t>
  </si>
  <si>
    <t>other</t>
  </si>
  <si>
    <t>G160</t>
  </si>
  <si>
    <t>G250</t>
  </si>
  <si>
    <t>G400</t>
  </si>
  <si>
    <t>G650</t>
  </si>
  <si>
    <t>G1000</t>
  </si>
  <si>
    <t>G1600</t>
  </si>
  <si>
    <t>G2500</t>
  </si>
  <si>
    <t>G4000</t>
  </si>
  <si>
    <t>G10000</t>
  </si>
  <si>
    <t>G16000</t>
  </si>
  <si>
    <t>G6500</t>
  </si>
  <si>
    <t>G10000E</t>
  </si>
  <si>
    <t>G16000E</t>
  </si>
  <si>
    <t>G1000E</t>
  </si>
  <si>
    <t>G1600E</t>
  </si>
  <si>
    <t>G2500E</t>
  </si>
  <si>
    <t>G4000E</t>
  </si>
  <si>
    <t>G6500E</t>
  </si>
  <si>
    <t>DO0/AO0 31/32</t>
  </si>
  <si>
    <t>Input</t>
  </si>
  <si>
    <t>Gültigkeit</t>
  </si>
  <si>
    <t>DO1 51/52</t>
  </si>
  <si>
    <t>Volume a.c.</t>
  </si>
  <si>
    <t>Volume s.c.</t>
  </si>
  <si>
    <t>DO2 41/42</t>
  </si>
  <si>
    <t>DO3 81/82</t>
  </si>
  <si>
    <t>HART®</t>
  </si>
  <si>
    <t>HW 31/32</t>
  </si>
  <si>
    <t>HW 51/52 + 41/42</t>
  </si>
  <si>
    <t>1-7</t>
  </si>
  <si>
    <t>HW 81/82</t>
  </si>
  <si>
    <t>RP 31/32</t>
  </si>
  <si>
    <t>RP 51/52 + 41/42</t>
  </si>
  <si>
    <t>RP 81/82</t>
  </si>
  <si>
    <t>Voluntary</t>
  </si>
  <si>
    <t>Yes - downstream</t>
  </si>
  <si>
    <t>Yes - upstream</t>
  </si>
  <si>
    <t>Ambient temperature</t>
  </si>
  <si>
    <t>Korrosive</t>
  </si>
  <si>
    <t>Page 2</t>
  </si>
  <si>
    <t>Smooth finish</t>
  </si>
  <si>
    <t>Stock finish</t>
  </si>
  <si>
    <t>Switching state</t>
  </si>
  <si>
    <t>Page 3</t>
  </si>
  <si>
    <t>Page 1</t>
  </si>
  <si>
    <t>Page</t>
  </si>
  <si>
    <t>Show</t>
  </si>
  <si>
    <t>Hide</t>
  </si>
  <si>
    <t>Mandatory</t>
  </si>
  <si>
    <t>Pressure device conformity</t>
  </si>
  <si>
    <t>ANSI CL0150</t>
  </si>
  <si>
    <t>ANSI CL0600</t>
  </si>
  <si>
    <t>ANSI CL0900</t>
  </si>
  <si>
    <t>ANSI CL1500</t>
  </si>
  <si>
    <t>ANSI CL2500</t>
  </si>
  <si>
    <t>ANSI CL0300</t>
  </si>
  <si>
    <t>DIN/EN PN0025</t>
  </si>
  <si>
    <t>DIN/EN PN0040</t>
  </si>
  <si>
    <t>DIN/EN PN0063</t>
  </si>
  <si>
    <t>DIN/EN PN0064</t>
  </si>
  <si>
    <t>DIN/EN PN0100</t>
  </si>
  <si>
    <t>DIN/EN PN0160</t>
  </si>
  <si>
    <t>DIN/EN PN0250</t>
  </si>
  <si>
    <t>DIN/EN PN0320</t>
  </si>
  <si>
    <t>DIN/EN PN0400</t>
  </si>
  <si>
    <t>DIN/EN PN0016</t>
  </si>
  <si>
    <t>G2500*</t>
  </si>
  <si>
    <t>NW</t>
  </si>
  <si>
    <t>Ausgabe</t>
  </si>
  <si>
    <t>SI</t>
  </si>
  <si>
    <t>imperial</t>
  </si>
  <si>
    <t>Gas compostion 1</t>
  </si>
  <si>
    <t>Gas compostion 1 % Vol.</t>
  </si>
  <si>
    <t>Gas compostion 2</t>
  </si>
  <si>
    <t>Gas compostion 2 % Vol.</t>
  </si>
  <si>
    <t>Gas compostion 3</t>
  </si>
  <si>
    <t>Gas compostion 3 % Vol.</t>
  </si>
  <si>
    <t>Gas compostion 4</t>
  </si>
  <si>
    <t>Gas compostion 4 % Vol.</t>
  </si>
  <si>
    <t>Gas compostion 5</t>
  </si>
  <si>
    <t>Gas compostion 5 % Vol.</t>
  </si>
  <si>
    <t>Gas compostion 6</t>
  </si>
  <si>
    <t>Gas compostion 7</t>
  </si>
  <si>
    <t>Gas compostion 7 % Vol.</t>
  </si>
  <si>
    <t>Gas compostion 6 % Vol.</t>
  </si>
  <si>
    <t>Gas compostion 8</t>
  </si>
  <si>
    <t>Gas compostion 8 % Vol.</t>
  </si>
  <si>
    <t>Min. Ambient temperature</t>
  </si>
  <si>
    <t>Max. Ambient temperature</t>
  </si>
  <si>
    <t>Flow rate (actual) min</t>
  </si>
  <si>
    <t>Flow rate (actual) max</t>
  </si>
  <si>
    <t>Flow rate (actual) norm.</t>
  </si>
  <si>
    <t>Gas velocity min.</t>
  </si>
  <si>
    <t>Gas velocity max.</t>
  </si>
  <si>
    <t>Gas velocity norm.</t>
  </si>
  <si>
    <t>Operating temperature min.</t>
  </si>
  <si>
    <t>Operating temperature max.</t>
  </si>
  <si>
    <t>Operating temperature norm.</t>
  </si>
  <si>
    <t>Outputconfig</t>
  </si>
  <si>
    <t>1+2</t>
  </si>
  <si>
    <t>Erläuterung zu Digitalausgängen DO1 31/32 und DO 51/52</t>
  </si>
  <si>
    <t>Comments see below</t>
  </si>
  <si>
    <t>Comments of digital outputs DO31/32 and DO51/52</t>
  </si>
  <si>
    <t>normally closed</t>
  </si>
  <si>
    <t>Status Warning</t>
  </si>
  <si>
    <t>Status Mailfunction</t>
  </si>
  <si>
    <t>Status Flow direction</t>
  </si>
  <si>
    <t>Connection of p&amp;T transmitters</t>
  </si>
  <si>
    <t>Status Maintenance required</t>
  </si>
  <si>
    <t>Статус Предупреждение</t>
  </si>
  <si>
    <t>Статус Сбой</t>
  </si>
  <si>
    <t>Статус Необх. тех. обслуживания</t>
  </si>
  <si>
    <t>Статус Направление расхода</t>
  </si>
  <si>
    <t>Скорость газа</t>
  </si>
  <si>
    <t>Скорость звука</t>
  </si>
  <si>
    <t>Подключение Р и Т датчиков</t>
  </si>
  <si>
    <t>Указание к одновременной распечатке всех страниц: Удерживая клавишу SHIFT, можно выбрать 3 страницы, кликая на них курсором</t>
  </si>
  <si>
    <t>м/с</t>
  </si>
  <si>
    <t>кг/ч</t>
  </si>
  <si>
    <t>кг/м³</t>
  </si>
  <si>
    <t>г/моль</t>
  </si>
  <si>
    <t>1/м³</t>
  </si>
  <si>
    <t>мА</t>
  </si>
  <si>
    <t>мм</t>
  </si>
  <si>
    <t>м</t>
  </si>
  <si>
    <t>Метрические</t>
  </si>
  <si>
    <t>Опросный лист</t>
  </si>
  <si>
    <t>Да</t>
  </si>
  <si>
    <t>Нет</t>
  </si>
  <si>
    <t>Стр.1</t>
  </si>
  <si>
    <t>Заказчик</t>
  </si>
  <si>
    <t>Компания</t>
  </si>
  <si>
    <t>Адрес</t>
  </si>
  <si>
    <t>Контактное лицо</t>
  </si>
  <si>
    <t>Телефон</t>
  </si>
  <si>
    <t>Эл. почта</t>
  </si>
  <si>
    <t>Факс</t>
  </si>
  <si>
    <t>Дата</t>
  </si>
  <si>
    <t>Исход. данные</t>
  </si>
  <si>
    <t>Размер счётчика</t>
  </si>
  <si>
    <t>Кол-во лучей</t>
  </si>
  <si>
    <t>Измеряемая среда</t>
  </si>
  <si>
    <t>Газ</t>
  </si>
  <si>
    <t>Состав газа</t>
  </si>
  <si>
    <t>Регулятор давления</t>
  </si>
  <si>
    <t>да - внизу по потоку</t>
  </si>
  <si>
    <t>да - вверху против потока</t>
  </si>
  <si>
    <t>Мак. перепад давления</t>
  </si>
  <si>
    <t>Мин.</t>
  </si>
  <si>
    <t>Норма</t>
  </si>
  <si>
    <t>Температура газа</t>
  </si>
  <si>
    <t>Массовый расход</t>
  </si>
  <si>
    <t>Коэффициент сжимаемости</t>
  </si>
  <si>
    <t>Внешние условия</t>
  </si>
  <si>
    <t>2 луча</t>
  </si>
  <si>
    <t>4 луча</t>
  </si>
  <si>
    <t>Природный газ</t>
  </si>
  <si>
    <t>Факельный газ</t>
  </si>
  <si>
    <t>Воздух</t>
  </si>
  <si>
    <t>нет</t>
  </si>
  <si>
    <t>да</t>
  </si>
  <si>
    <t>Абразивный</t>
  </si>
  <si>
    <t>Коррозионный</t>
  </si>
  <si>
    <t>Стр. 2</t>
  </si>
  <si>
    <t>Счетчик</t>
  </si>
  <si>
    <t>Фланец</t>
  </si>
  <si>
    <t>Длина счётчика</t>
  </si>
  <si>
    <t>Сертификат на материал</t>
  </si>
  <si>
    <t>Мин. расчётная темп.</t>
  </si>
  <si>
    <t>NACE совместимость</t>
  </si>
  <si>
    <t>Внешняя покраска</t>
  </si>
  <si>
    <t>Тест на герметичность</t>
  </si>
  <si>
    <t>Тест на герм. давлением</t>
  </si>
  <si>
    <t>Кол-во повторов</t>
  </si>
  <si>
    <t>Ex защита</t>
  </si>
  <si>
    <t>Единицы</t>
  </si>
  <si>
    <t>Материал корпуса</t>
  </si>
  <si>
    <t>Калибровка</t>
  </si>
  <si>
    <t>Двунаправленный поток</t>
  </si>
  <si>
    <t>Тестирующая среда</t>
  </si>
  <si>
    <t>Точки тестирования</t>
  </si>
  <si>
    <t>Сертификат</t>
  </si>
  <si>
    <t>диаметр →</t>
  </si>
  <si>
    <t>шлифование</t>
  </si>
  <si>
    <t>полировка</t>
  </si>
  <si>
    <t>Нержавеющая сталь</t>
  </si>
  <si>
    <t>Дуплекс</t>
  </si>
  <si>
    <t>Алюминий</t>
  </si>
  <si>
    <t>Другой</t>
  </si>
  <si>
    <t>Стандарт</t>
  </si>
  <si>
    <t>1/4" резьба NPT  (размер = 3": 1/8" NPT)</t>
  </si>
  <si>
    <t>Без покрытия для нержавеющей стали или дуплексного материала</t>
  </si>
  <si>
    <t>Английские</t>
  </si>
  <si>
    <t>Бразилия - IMM</t>
  </si>
  <si>
    <t>Китай - PRC</t>
  </si>
  <si>
    <t>Германия - PTB</t>
  </si>
  <si>
    <t>Индонезия - MIG</t>
  </si>
  <si>
    <t>Канада - MSC</t>
  </si>
  <si>
    <t>Малайзия - SIR</t>
  </si>
  <si>
    <t>Нидерланды - NMI</t>
  </si>
  <si>
    <t>Австрия - BEV</t>
  </si>
  <si>
    <t>Румыния - BRM</t>
  </si>
  <si>
    <t>Россия - ГОСТ</t>
  </si>
  <si>
    <t>Швейцария - MET</t>
  </si>
  <si>
    <t>Сербия - SEB</t>
  </si>
  <si>
    <t>Чехия - CMI</t>
  </si>
  <si>
    <t>Украина - UKR</t>
  </si>
  <si>
    <t>Стр. 3</t>
  </si>
  <si>
    <t>Конфигурация (вх./вых.)</t>
  </si>
  <si>
    <t>Статус</t>
  </si>
  <si>
    <t>Импульс</t>
  </si>
  <si>
    <t>Аналоговый</t>
  </si>
  <si>
    <t>Положение</t>
  </si>
  <si>
    <t>Сигнал тревоги</t>
  </si>
  <si>
    <t>Показаны стандартные конфигурации. Так же возможны другие, см. инструкцию пользователя. Используйте ячейку "Спец. требования", чтобы показать другую требуемую конфигурацию.</t>
  </si>
  <si>
    <t>Предупреждение</t>
  </si>
  <si>
    <t>Направление потока</t>
  </si>
  <si>
    <t>Другое</t>
  </si>
  <si>
    <t>Открытый коллектор</t>
  </si>
  <si>
    <t>активный</t>
  </si>
  <si>
    <t>пассивный</t>
  </si>
  <si>
    <t>нормально открытый</t>
  </si>
  <si>
    <t>нормально закрытый</t>
  </si>
  <si>
    <t>аналоговый</t>
  </si>
  <si>
    <t>Стр.</t>
  </si>
  <si>
    <t>Опросный лист имеет номера ссылок на заполненные ячейки. В случае заказа, данный опросный лист будет передан вместе с подтверждением о заказе. Номера ссылок ячеек могут быть показаны на листе.</t>
  </si>
  <si>
    <t>Показать</t>
  </si>
  <si>
    <t>Спрятать</t>
  </si>
  <si>
    <t>об.%</t>
  </si>
  <si>
    <t>бар</t>
  </si>
  <si>
    <t>Макс. расчётн. темп.</t>
  </si>
  <si>
    <t>мин.</t>
  </si>
  <si>
    <t>Макс.</t>
  </si>
  <si>
    <t>pathconfig1</t>
  </si>
  <si>
    <t>max</t>
  </si>
  <si>
    <t>zul. Betriebstemperatur</t>
  </si>
  <si>
    <t>zul. Betriebsdruck</t>
  </si>
  <si>
    <t>zul. Umgebugnstemperatur</t>
  </si>
  <si>
    <t>Glatt Form C (DIN 2526)</t>
  </si>
  <si>
    <t>Glatt Form E (DIN 2526)</t>
  </si>
  <si>
    <t>Form B1 (EN 1092-1)</t>
  </si>
  <si>
    <t>Form B2 (EN 1092-1)</t>
  </si>
  <si>
    <t>Lackierung</t>
  </si>
  <si>
    <t>Low pressure calibration</t>
  </si>
  <si>
    <t>High pressure calibration</t>
  </si>
  <si>
    <t>I/O</t>
  </si>
  <si>
    <t>Вх./Вых.</t>
  </si>
  <si>
    <t>I/O Signal assignment</t>
  </si>
  <si>
    <t>Connection type</t>
  </si>
  <si>
    <t>Serial</t>
  </si>
  <si>
    <t>G400*</t>
  </si>
  <si>
    <t>G650*</t>
  </si>
  <si>
    <t>G1600*</t>
  </si>
  <si>
    <t>G4000*</t>
  </si>
  <si>
    <t>форма С (DIN 2526)</t>
  </si>
  <si>
    <t>форма Е (DIN 2526)</t>
  </si>
  <si>
    <t>форма В1 (EN 1092-1)</t>
  </si>
  <si>
    <t>форма В2 (EN 1092-1)</t>
  </si>
  <si>
    <t>Назначение сигнала</t>
  </si>
  <si>
    <t>Тип сигнала</t>
  </si>
  <si>
    <t>Интерфейс</t>
  </si>
  <si>
    <t>In the following table you can modify the assignment of the output signals. For setting the outputs of the  I/O configuration 1 and 2 please see also the comments below.</t>
  </si>
  <si>
    <t>g/Nm³</t>
  </si>
  <si>
    <t>g/sm³</t>
  </si>
  <si>
    <t>Lb/sft³</t>
  </si>
  <si>
    <t>Designation of Input box</t>
  </si>
  <si>
    <t>don't fill in</t>
  </si>
  <si>
    <t>Number of paths</t>
  </si>
  <si>
    <t>Rohrinnendurchmesser</t>
  </si>
  <si>
    <t>Inner pipe diameter</t>
  </si>
  <si>
    <t>Anschrift1</t>
  </si>
  <si>
    <t>Anschrift2</t>
  </si>
  <si>
    <t>Anschrift3</t>
  </si>
  <si>
    <t>email</t>
  </si>
  <si>
    <t>Referenz</t>
  </si>
  <si>
    <t>Distanz</t>
  </si>
  <si>
    <t>max. Druckdifferenz</t>
  </si>
  <si>
    <t>Durchfluss (norm.) min.</t>
  </si>
  <si>
    <t>Durchfluss (norm.) normal</t>
  </si>
  <si>
    <t>Durchfluss (norm.) max.</t>
  </si>
  <si>
    <t>Gasgeschwindigkeit min.</t>
  </si>
  <si>
    <t>Gasgeschwindigkeit normal</t>
  </si>
  <si>
    <t>Gasgeschwindigkeit max.</t>
  </si>
  <si>
    <t>Massendurchfluss min.</t>
  </si>
  <si>
    <t>Massendurchfluss normal</t>
  </si>
  <si>
    <t>Massendurchfluss max.</t>
  </si>
  <si>
    <t>Kompressibilität min.</t>
  </si>
  <si>
    <t>Kompressibilität normal</t>
  </si>
  <si>
    <t>Kompressibilität max.</t>
  </si>
  <si>
    <t>Dichte min.</t>
  </si>
  <si>
    <t>Dichte normal</t>
  </si>
  <si>
    <t>Dichte max.</t>
  </si>
  <si>
    <t>Molekulargewicht min.</t>
  </si>
  <si>
    <t>Molekulargewicht normal</t>
  </si>
  <si>
    <t>Molekulargewicht max.</t>
  </si>
  <si>
    <t>Auslegungstemperatur min.</t>
  </si>
  <si>
    <t>Auslegungstemperatur max.</t>
  </si>
  <si>
    <t>Druckentnahme II</t>
  </si>
  <si>
    <t>Lackierung II</t>
  </si>
  <si>
    <t>Dichheitstest</t>
  </si>
  <si>
    <t>Testpunkte II</t>
  </si>
  <si>
    <t>Color background</t>
  </si>
  <si>
    <t>Sonderanforderungen1</t>
  </si>
  <si>
    <t>Sonderanforderungen2</t>
  </si>
  <si>
    <t>Sonderanforderungen3</t>
  </si>
  <si>
    <t>Sonderanforderungen4</t>
  </si>
  <si>
    <t>Sonderanforderungen5</t>
  </si>
  <si>
    <t>Sonderanforderungen6</t>
  </si>
  <si>
    <t>Sonderanforderungen7</t>
  </si>
  <si>
    <t>Sonderanforderungen8</t>
  </si>
  <si>
    <t>Sonderanforderungen9</t>
  </si>
  <si>
    <t>Sonderanforderungen10</t>
  </si>
  <si>
    <t>Sonderanforderungen11</t>
  </si>
  <si>
    <t>Sonderanforderungen12</t>
  </si>
  <si>
    <t>Sonderanforderungen13</t>
  </si>
  <si>
    <t>Sonderanforderungen14</t>
  </si>
  <si>
    <t>0</t>
  </si>
  <si>
    <t>min.</t>
  </si>
  <si>
    <t>norm.</t>
  </si>
  <si>
    <t>max.</t>
  </si>
  <si>
    <t>max. Output</t>
  </si>
  <si>
    <t>Interface</t>
  </si>
  <si>
    <t>Druck</t>
  </si>
  <si>
    <t>Temperatur</t>
  </si>
  <si>
    <t>Medium</t>
  </si>
  <si>
    <t>Revision</t>
  </si>
  <si>
    <t>Typecode</t>
  </si>
  <si>
    <t>GENERAL</t>
  </si>
  <si>
    <t>Type</t>
  </si>
  <si>
    <t>Article number</t>
  </si>
  <si>
    <t>TAG number</t>
  </si>
  <si>
    <t>Order number</t>
  </si>
  <si>
    <t>METER BODY</t>
  </si>
  <si>
    <t>Overal length (A)</t>
  </si>
  <si>
    <t>Overal height (B)</t>
  </si>
  <si>
    <t>Weight</t>
  </si>
  <si>
    <t>Flow range</t>
  </si>
  <si>
    <t>Number of meas. paths</t>
  </si>
  <si>
    <t>Linearity</t>
  </si>
  <si>
    <t>Repeatability</t>
  </si>
  <si>
    <t>Body material</t>
  </si>
  <si>
    <t>Transducers exchangeable under pressure</t>
  </si>
  <si>
    <t>Material certificate</t>
  </si>
  <si>
    <t>Enclosure classification</t>
  </si>
  <si>
    <t>Surface coating / painting</t>
  </si>
  <si>
    <t>Sensors</t>
  </si>
  <si>
    <t>Sensor material</t>
  </si>
  <si>
    <t>Supplementary Information: Process and operating conditions</t>
  </si>
  <si>
    <t>Flow rates</t>
  </si>
  <si>
    <t>Pressure</t>
  </si>
  <si>
    <t>Temperature</t>
  </si>
  <si>
    <t>Corosive components</t>
  </si>
  <si>
    <t>Calibration range</t>
  </si>
  <si>
    <t>TRANSMITTER (Integral)</t>
  </si>
  <si>
    <t>weeks.</t>
  </si>
  <si>
    <t>Cable entry</t>
  </si>
  <si>
    <t>Hazardous Area Class.</t>
  </si>
  <si>
    <t>Ambient temperature (range)</t>
  </si>
  <si>
    <t>Display language</t>
  </si>
  <si>
    <t>Output and Signal Configuration - Signal processing unit</t>
  </si>
  <si>
    <t>Signal configuration</t>
  </si>
  <si>
    <t>HART Slave 31/32</t>
  </si>
  <si>
    <t>Phys. Value AO high</t>
  </si>
  <si>
    <t>Phys. Value AO low</t>
  </si>
  <si>
    <t>meter factor</t>
  </si>
  <si>
    <t>COMMUNICATION</t>
  </si>
  <si>
    <t>Protocol</t>
  </si>
  <si>
    <t>REMARKS</t>
  </si>
  <si>
    <t>Lines marked by " * " are default values</t>
  </si>
  <si>
    <t>Lines marked by " ° " are safety relevant features according to 97/23/EC</t>
  </si>
  <si>
    <t>Manufacturing period after receipt of approval for this data sheet, is</t>
  </si>
  <si>
    <t>Engineered By</t>
  </si>
  <si>
    <t>Customer / Project</t>
  </si>
  <si>
    <t>Цвет заливки</t>
  </si>
  <si>
    <t>Отобразить</t>
  </si>
  <si>
    <t>Скрыть</t>
  </si>
  <si>
    <t>Two layers epoxy/acrylic, RAL 9002</t>
  </si>
  <si>
    <t>IP 67</t>
  </si>
  <si>
    <t>12 .. 28,8 V DC</t>
  </si>
  <si>
    <t>&lt; 1W</t>
  </si>
  <si>
    <t>II 1/2G Eex de ib [ia] IIC T4</t>
  </si>
  <si>
    <t>IIC und ABCD</t>
  </si>
  <si>
    <t>ATEX IIC</t>
  </si>
  <si>
    <t>ATEX IIC T4 (1/2" NPT)</t>
  </si>
  <si>
    <t>II 1/2G Eex de ib [ia] IIA T4</t>
  </si>
  <si>
    <t>IIA und B,C,D</t>
  </si>
  <si>
    <t>ATEX IIA</t>
  </si>
  <si>
    <t>ATEX IIA T4 (1/2" NPT)</t>
  </si>
  <si>
    <t>Class 1, Division 1, Group D, T4
Class 1, Division 2, Group D, T4
Class 1, Zone 1, Group IIA, T4
Class 1, Zone 2, Group IIA, T4</t>
  </si>
  <si>
    <t>CSA D</t>
  </si>
  <si>
    <t>Class 1, Division 1, Groups B,C,D T4
Class 1, Division 2, Groups A, B,C,D T4
Class 1, Zone 1, Group IIB + Hydrogene, T4
Class 1, Zone 2, Group IIC, T4</t>
  </si>
  <si>
    <t>CSA BCD</t>
  </si>
  <si>
    <t>M20x1.5</t>
  </si>
  <si>
    <t>1/2" NPT</t>
  </si>
  <si>
    <t>DO0/AO0 Terminals 31/32</t>
  </si>
  <si>
    <t>DO1 Terminals 51/52</t>
  </si>
  <si>
    <t>DO3 Terminals 81/82</t>
  </si>
  <si>
    <t>DO2 Terminals 41/42</t>
  </si>
  <si>
    <t>MOD Terminals 33/34</t>
  </si>
  <si>
    <t>Flowrate m³/h</t>
  </si>
  <si>
    <t>Flowrate ft³/h</t>
  </si>
  <si>
    <t xml:space="preserve"> [m/s]</t>
  </si>
  <si>
    <t>Volume a.c., no pulses when data invalid</t>
  </si>
  <si>
    <t>Volume a.c., flow direction by phase shift +/-90°</t>
  </si>
  <si>
    <t>Volume a.c., flow reverse direction</t>
  </si>
  <si>
    <t>Volume a.c., flow forward direction</t>
  </si>
  <si>
    <t>Код типа</t>
  </si>
  <si>
    <t>Тип</t>
  </si>
  <si>
    <t>Артикул</t>
  </si>
  <si>
    <t>Номер заказа</t>
  </si>
  <si>
    <t>Общая длина (А)</t>
  </si>
  <si>
    <t>Общая высота (В)</t>
  </si>
  <si>
    <t>Вес</t>
  </si>
  <si>
    <t>Линейность</t>
  </si>
  <si>
    <t>Повторяемость</t>
  </si>
  <si>
    <t>Исполнение фланца</t>
  </si>
  <si>
    <t>Класс фланца по давлению</t>
  </si>
  <si>
    <t>Дополнительная информация: Параметры процесса и условия эксплуатации</t>
  </si>
  <si>
    <t>Температура</t>
  </si>
  <si>
    <t>норм.</t>
  </si>
  <si>
    <t>макс.</t>
  </si>
  <si>
    <t>Диапазон калибровки</t>
  </si>
  <si>
    <t>Точки калибровки</t>
  </si>
  <si>
    <r>
      <t xml:space="preserve">Строки, отмеченные " ° " отвечают требованиям безопасности </t>
    </r>
    <r>
      <rPr>
        <sz val="10"/>
        <color indexed="10"/>
        <rFont val="Arial"/>
        <family val="2"/>
      </rPr>
      <t xml:space="preserve"> </t>
    </r>
    <r>
      <rPr>
        <sz val="10"/>
        <rFont val="Arial"/>
        <family val="2"/>
        <charset val="204"/>
      </rPr>
      <t>в соответствии с 97/23/EC</t>
    </r>
  </si>
  <si>
    <t>Единицы измерения</t>
  </si>
  <si>
    <t>Конфигурация сигнала</t>
  </si>
  <si>
    <t>HART 31/32</t>
  </si>
  <si>
    <t>Протокол</t>
  </si>
  <si>
    <t>недель.</t>
  </si>
  <si>
    <t>Design temperature</t>
  </si>
  <si>
    <t>Power supply / Power consumption</t>
  </si>
  <si>
    <t>г/м³(с.у.)</t>
  </si>
  <si>
    <t>м³/ч (р.у.)</t>
  </si>
  <si>
    <t>Название проекта</t>
  </si>
  <si>
    <t>Конечный заказчик</t>
  </si>
  <si>
    <t>№ запроса</t>
  </si>
  <si>
    <t>Параметры процесса</t>
  </si>
  <si>
    <t>Угл. сталь (-25/+280°С)</t>
  </si>
  <si>
    <t>Низ.темп. угл. сталь (-46/+280°С)</t>
  </si>
  <si>
    <t>Нерж. Сталь (-194/+280°С)</t>
  </si>
  <si>
    <t>Соответ. по давлению</t>
  </si>
  <si>
    <t>Тип фланцев</t>
  </si>
  <si>
    <t>Поверхность фланцев</t>
  </si>
  <si>
    <t>Защит. кожух датчиков</t>
  </si>
  <si>
    <t>Отбор давления</t>
  </si>
  <si>
    <t>Специальные требования</t>
  </si>
  <si>
    <t>Корпус счетчика</t>
  </si>
  <si>
    <t>Внутренний D подсоединяемой трубы</t>
  </si>
  <si>
    <t>Количество измерительных лучей</t>
  </si>
  <si>
    <t>Замена приемопередатчиков под давлением</t>
  </si>
  <si>
    <t>Материал кожуха приемопередатчиков</t>
  </si>
  <si>
    <t>Расчетное давление (избыточное)</t>
  </si>
  <si>
    <t>Отбор давления на корпусе</t>
  </si>
  <si>
    <t>Ультразвуковые приемопередатчики</t>
  </si>
  <si>
    <t>Материал приемопередатчиков</t>
  </si>
  <si>
    <t>Объемный расход (р.у.)</t>
  </si>
  <si>
    <t>Давление (избыточное)</t>
  </si>
  <si>
    <t>Содержание жидкости</t>
  </si>
  <si>
    <t>Маркировка взрывозащиты</t>
  </si>
  <si>
    <t>ГОСТ 12815-80: Исполн. 1</t>
  </si>
  <si>
    <t>ГОСТ 12815-80: Исполн. 2</t>
  </si>
  <si>
    <t>ГОСТ 12815-80: Исполн. 3</t>
  </si>
  <si>
    <t>ГОСТ 12815-80: Исполн. 4</t>
  </si>
  <si>
    <t>ГОСТ 12815-80: Исполн. 5</t>
  </si>
  <si>
    <t>ГОСТ 12815-80: Исполн. 6</t>
  </si>
  <si>
    <t>ГОСТ 12815-80: Исполн. 7</t>
  </si>
  <si>
    <t>ГОСТ 12815-80: Исполн. 8</t>
  </si>
  <si>
    <t>ГОСТ 12815-80: Исполн. 9</t>
  </si>
  <si>
    <t>Ряд 2</t>
  </si>
  <si>
    <t>GOST 12815-80: Version 1</t>
  </si>
  <si>
    <t>GOST 12815-80: Version 2</t>
  </si>
  <si>
    <t>GOST 12815-80: Version 3</t>
  </si>
  <si>
    <t>GOST 12815-80: Version 4</t>
  </si>
  <si>
    <t>GOST 12815-80: Version 5</t>
  </si>
  <si>
    <t>GOST 12815-80: Version 6</t>
  </si>
  <si>
    <t>GOST 12815-80: Version 7</t>
  </si>
  <si>
    <t>GOST 12815-80: Version 8</t>
  </si>
  <si>
    <t>GOST 12815-80: Version 9</t>
  </si>
  <si>
    <t>Row 1</t>
  </si>
  <si>
    <t>Row 2</t>
  </si>
  <si>
    <t>Ряд 1</t>
  </si>
  <si>
    <t>ГОСТ 12821-80: Pу16</t>
  </si>
  <si>
    <t>ГОСТ 12821-80: Pу40</t>
  </si>
  <si>
    <t>ГОСТ 12821-80: Pу63</t>
  </si>
  <si>
    <t>ГОСТ 12821-80: Pу100</t>
  </si>
  <si>
    <t>ГОСТ 12821-80: Pу160</t>
  </si>
  <si>
    <t>ГОСТ 12821-80: Pу200</t>
  </si>
  <si>
    <t>ft/s</t>
  </si>
  <si>
    <t>Требует заполнения</t>
  </si>
  <si>
    <t>По запросу</t>
  </si>
  <si>
    <t>№. проекта</t>
  </si>
  <si>
    <t>№. ТКП</t>
  </si>
  <si>
    <t>№. заказа</t>
  </si>
  <si>
    <t>G-класс</t>
  </si>
  <si>
    <t>Содерж. жидкости</t>
  </si>
  <si>
    <t>Расст. до счётчика</t>
  </si>
  <si>
    <t xml:space="preserve">Объемный расход (с.у.) </t>
  </si>
  <si>
    <t>Рабочее давление (избыт.)</t>
  </si>
  <si>
    <t>Молярная масса</t>
  </si>
  <si>
    <t>Окруж. температура</t>
  </si>
  <si>
    <t>Метан (CH4)</t>
  </si>
  <si>
    <t>Этан (С2Н4)</t>
  </si>
  <si>
    <t>Пропан (С3Н8)</t>
  </si>
  <si>
    <t>Азот (N2)</t>
  </si>
  <si>
    <t>Кислород (O2)</t>
  </si>
  <si>
    <t>Углек. газ (CO2)</t>
  </si>
  <si>
    <t>Сероводород (H2S)</t>
  </si>
  <si>
    <t>Вн.диам.подсоед.трубы</t>
  </si>
  <si>
    <t>Блок электроники</t>
  </si>
  <si>
    <t>Передняя панель</t>
  </si>
  <si>
    <t>Дин. диапазон калибровки</t>
  </si>
  <si>
    <t>от Qmax</t>
  </si>
  <si>
    <t>Вес импульса</t>
  </si>
  <si>
    <t>Градуировка аналогового выхода</t>
  </si>
  <si>
    <t>со встроенным вычислителем расхода</t>
  </si>
  <si>
    <t>Сбой</t>
  </si>
  <si>
    <t>Запрос обслуживания</t>
  </si>
  <si>
    <t>Релейные выходы</t>
  </si>
  <si>
    <t>Объём (р.у.), нет импульсов если нет достоверного резултата</t>
  </si>
  <si>
    <t>Объём (р.у.), направление потока виде свига по фазе +-90°</t>
  </si>
  <si>
    <t>Объём (р.у.), при отрицательном направлени потока</t>
  </si>
  <si>
    <t>Объём (р.у.)</t>
  </si>
  <si>
    <t>Объём (р.у.), при положительном направлени потока</t>
  </si>
  <si>
    <t>Объём (с.у.)</t>
  </si>
  <si>
    <t>Расход (р.у.)</t>
  </si>
  <si>
    <t>Примечания см. ниже</t>
  </si>
  <si>
    <t xml:space="preserve">Общие данные </t>
  </si>
  <si>
    <t>No. чертежа</t>
  </si>
  <si>
    <t>Диапазон объемного расхода (р.у.)</t>
  </si>
  <si>
    <t xml:space="preserve">Тип уплотнительной поверхности фланца </t>
  </si>
  <si>
    <t>Расчетная температура</t>
  </si>
  <si>
    <t>Степень защиты</t>
  </si>
  <si>
    <t>Внешнее покрытие/ покраска</t>
  </si>
  <si>
    <t>Агрессивные компоненты</t>
  </si>
  <si>
    <t>Калибровка под давлением</t>
  </si>
  <si>
    <t>Примечания</t>
  </si>
  <si>
    <t xml:space="preserve">Строки, отмеченные " * " содержат значения по умолчанию </t>
  </si>
  <si>
    <t>Питание / Мощность</t>
  </si>
  <si>
    <t>Кабельные вводы</t>
  </si>
  <si>
    <t>Диапазон температуры окр. Среды</t>
  </si>
  <si>
    <t>DO0/AO0 Клеммы 31/32</t>
  </si>
  <si>
    <t>Верхнее знач. аналог. вых.</t>
  </si>
  <si>
    <t>Нижнее знач. аналог. вых.</t>
  </si>
  <si>
    <t>MOD Клеммы 33/34</t>
  </si>
  <si>
    <t>DO1 Клеммы 51/52</t>
  </si>
  <si>
    <t>Вес импульса (пок. измерений)</t>
  </si>
  <si>
    <t>макс. выход</t>
  </si>
  <si>
    <t>DO2 Клеммы 41/42</t>
  </si>
  <si>
    <t>DO3 Клеммы 81/82</t>
  </si>
  <si>
    <t>Коммуникация</t>
  </si>
  <si>
    <t xml:space="preserve">Срок изготовления, после подтверждения данной спецификации, составляет </t>
  </si>
  <si>
    <t>Разработано</t>
  </si>
  <si>
    <t>Заказчик / Название проекта</t>
  </si>
  <si>
    <t>№ Ревизии</t>
  </si>
  <si>
    <t>м³/ч (с.у.)</t>
  </si>
  <si>
    <t>бар (и)</t>
  </si>
  <si>
    <t>G100</t>
  </si>
  <si>
    <t>Bio gas (dry)</t>
  </si>
  <si>
    <t>Bio gas (wet)</t>
  </si>
  <si>
    <t>Ethylene</t>
  </si>
  <si>
    <t>Methan (CH4)</t>
  </si>
  <si>
    <t>Nitrogen (N2)</t>
  </si>
  <si>
    <t>Carbon dioxid (CO2)</t>
  </si>
  <si>
    <t>Ethan (C2H6)</t>
  </si>
  <si>
    <t>Propan (C3H8)</t>
  </si>
  <si>
    <t>n-Butan (n-C4H10)</t>
  </si>
  <si>
    <t>i-Butan (i-C4H10)</t>
  </si>
  <si>
    <t>n-Pentan (n-C5H12)</t>
  </si>
  <si>
    <t>i-Pentan (i-C5H12)</t>
  </si>
  <si>
    <t>n-Hexan (n-C6H14)</t>
  </si>
  <si>
    <t>n-Heptan (n-C7H16)</t>
  </si>
  <si>
    <t>n-Octan (n-C8H18)</t>
  </si>
  <si>
    <t>n-Nonane (n-C9H20)</t>
  </si>
  <si>
    <t>n-Decane (n-C10H22)</t>
  </si>
  <si>
    <t>Hydrogen (H2)</t>
  </si>
  <si>
    <t>Oxygen (O2)</t>
  </si>
  <si>
    <t>Carbon monoxid (CO)</t>
  </si>
  <si>
    <t>Water (H2O)</t>
  </si>
  <si>
    <t>Hydrogen sulfid (H2S)</t>
  </si>
  <si>
    <t>Helium (He)</t>
  </si>
  <si>
    <t>Argon (Ar)</t>
  </si>
  <si>
    <t>Alle Messbereiche; A.G.A.</t>
  </si>
  <si>
    <t>02</t>
  </si>
  <si>
    <t>CSA Group B, C, D T4</t>
  </si>
  <si>
    <t>42</t>
  </si>
  <si>
    <t>44</t>
  </si>
  <si>
    <t>46</t>
  </si>
  <si>
    <t>48</t>
  </si>
  <si>
    <t>Without Ex-proof design</t>
  </si>
  <si>
    <t>type approval</t>
  </si>
  <si>
    <t>Form A (EN 1092-1)</t>
  </si>
  <si>
    <t>форма A (EN 1092-1)</t>
  </si>
  <si>
    <t>Form C (EN 1092-1)</t>
  </si>
  <si>
    <t>форма C (EN 1092-1)</t>
  </si>
  <si>
    <t>Form D (EN 1092-1)</t>
  </si>
  <si>
    <t>форма D (EN 1092-1)</t>
  </si>
  <si>
    <t>Form E (EN 1092-1)</t>
  </si>
  <si>
    <t>форма E (EN 1092-1)</t>
  </si>
  <si>
    <t>Form F (EN 1092-1)</t>
  </si>
  <si>
    <t>форма F (EN 1092-1)</t>
  </si>
  <si>
    <t>Form G (EN 1092-1)</t>
  </si>
  <si>
    <t>форма G (EN 1092-1)</t>
  </si>
  <si>
    <t>Form H (EN 1092-1)</t>
  </si>
  <si>
    <t>форма H (EN 1092-1)</t>
  </si>
  <si>
    <t>Dry calibration</t>
  </si>
  <si>
    <t>Low pressure manufacturer calibration</t>
  </si>
  <si>
    <t>Europe - MID</t>
  </si>
  <si>
    <t>Type approval</t>
  </si>
  <si>
    <t>Custody</t>
  </si>
  <si>
    <t>Process application</t>
  </si>
  <si>
    <t>Algeria</t>
  </si>
  <si>
    <t>Belarus</t>
  </si>
  <si>
    <t>Croatia</t>
  </si>
  <si>
    <t>Denmark</t>
  </si>
  <si>
    <t>Egypt</t>
  </si>
  <si>
    <t>Italy</t>
  </si>
  <si>
    <t>Norway</t>
  </si>
  <si>
    <t>Oman</t>
  </si>
  <si>
    <t>Russia - GOST</t>
  </si>
  <si>
    <t xml:space="preserve">Saudi Aramco </t>
  </si>
  <si>
    <t>Spain</t>
  </si>
  <si>
    <t>Einheiten neu</t>
  </si>
  <si>
    <t>Überschrift</t>
  </si>
  <si>
    <t>g/m³</t>
  </si>
  <si>
    <t>IECEx IIC T4 (M20x1.5)</t>
  </si>
  <si>
    <t>IECEx IIC T4 (1/2" NPT)</t>
  </si>
  <si>
    <t>IECEx IIA T4 (M20x1.5)</t>
  </si>
  <si>
    <t>IECEx IIA T4 (1/2" NPT)</t>
  </si>
  <si>
    <t>GOST 12821-80: GS16</t>
  </si>
  <si>
    <t>GOST 12821-80: GS40</t>
  </si>
  <si>
    <t>GOST 12821-80: GS63</t>
  </si>
  <si>
    <t>GOST 12821-80: GS100</t>
  </si>
  <si>
    <t>GOST 12821-80: GS160</t>
  </si>
  <si>
    <t>GOST 12821-80: GS200</t>
  </si>
  <si>
    <t>Dichte(Density)</t>
  </si>
  <si>
    <t>Durchfluss (i.N.)</t>
  </si>
  <si>
    <t>Geschwindigkeit</t>
  </si>
  <si>
    <t>Durchfluss (i.B.), Q</t>
  </si>
  <si>
    <t>Englisch</t>
  </si>
  <si>
    <t>Liquid Content</t>
  </si>
  <si>
    <t>lbs/h</t>
  </si>
  <si>
    <t>Länge</t>
  </si>
  <si>
    <t>5%, 10%, 25%, 40%, 70%, 100%</t>
  </si>
  <si>
    <t>3%, 5%, 10%, 25%, 40%, 70%, 100%</t>
  </si>
  <si>
    <t>2%, 5%, 15%, 25%, 40%, 70%, 100%</t>
  </si>
  <si>
    <t>Qmin,  3%, 5%, 15%, 25%, 40%, 70%, 100%</t>
  </si>
  <si>
    <t>2,5%, 5%, 10%, 25%, 50%, 75%, 100%</t>
  </si>
  <si>
    <t>vol%</t>
  </si>
  <si>
    <t>ppm</t>
  </si>
  <si>
    <t>Anal./HART</t>
  </si>
  <si>
    <t>Аналоговый/HART</t>
  </si>
  <si>
    <t>Hot steam</t>
  </si>
  <si>
    <t>PN0006</t>
  </si>
  <si>
    <t>PN0010</t>
  </si>
  <si>
    <t>DIN/EN PN0006</t>
  </si>
  <si>
    <t>DIN/EN PN0010</t>
  </si>
  <si>
    <t>PN0160</t>
  </si>
  <si>
    <t>PN0250</t>
  </si>
  <si>
    <t>PN0320</t>
  </si>
  <si>
    <t>PN0400</t>
  </si>
  <si>
    <t>GOST 12821-80: GS06</t>
  </si>
  <si>
    <t>GOST 12821-80: GS10</t>
  </si>
  <si>
    <t>GOST 12821-80: GS25</t>
  </si>
  <si>
    <t>GOST 12821-80: GS64</t>
  </si>
  <si>
    <t>ГОСТ 12821-80: Pу06</t>
  </si>
  <si>
    <t>ГОСТ 12821-80: Pу10</t>
  </si>
  <si>
    <t>ГОСТ 12821-80: Pу25</t>
  </si>
  <si>
    <t>ГОСТ 12821-80: Pу64</t>
  </si>
  <si>
    <t>ft³/h</t>
  </si>
  <si>
    <t>Corrosive conditions</t>
  </si>
  <si>
    <t>Type of calibration</t>
  </si>
  <si>
    <t>SICK Modbus ASCII</t>
  </si>
  <si>
    <t>SICK Modbus RTU</t>
  </si>
  <si>
    <t>GENERIC Modbus ASCII</t>
  </si>
  <si>
    <t>GENERIC Modbus RTU</t>
  </si>
  <si>
    <t>Raised Face (ANSI B16.5, B16.47)</t>
  </si>
  <si>
    <t>Ring Type Joint (ANSI B16.5, B16.47)</t>
  </si>
  <si>
    <t>RF, ANSI B16.5, B16.47</t>
  </si>
  <si>
    <t>RTJ, ANSI B16.5, B16.47</t>
  </si>
  <si>
    <t>PED 97/23/EG</t>
  </si>
  <si>
    <t>Notice: Sum &gt; 100% not possible</t>
  </si>
  <si>
    <t>CO2</t>
  </si>
  <si>
    <t>H2</t>
  </si>
  <si>
    <t>N2</t>
  </si>
  <si>
    <t>O2</t>
  </si>
  <si>
    <t>Remarks</t>
  </si>
  <si>
    <t>Quantity</t>
  </si>
  <si>
    <t>Notice: Limited operating conditions. Ensure Meter is oil- and greasefree. Please contact your local representative.</t>
  </si>
  <si>
    <t>Notice: Limited operating conditions. Please contact your local representative.</t>
  </si>
  <si>
    <t>Encoder</t>
  </si>
  <si>
    <t>1-11</t>
  </si>
  <si>
    <t>Ex Gb/Ga Ex d e ib [ia Ga] IIA T4</t>
  </si>
  <si>
    <t>Ex Gb/Ga Ex d e ib [ia Ga] IIC T4</t>
  </si>
  <si>
    <t>Condensates</t>
  </si>
  <si>
    <t>Конденсат</t>
  </si>
  <si>
    <t>EVC int. PS</t>
  </si>
  <si>
    <t>EVC ext. PS</t>
  </si>
  <si>
    <t>EVC ext. / int. PS = Electronics Volume Corrector with external / internal power supply</t>
  </si>
  <si>
    <t>Notice: SPU housing material is equal to Transducer cover material</t>
  </si>
  <si>
    <t>Flanschdichtfläche (flangefacing)</t>
  </si>
  <si>
    <t>Lb/ft³</t>
  </si>
  <si>
    <t>sft³/h</t>
  </si>
  <si>
    <t>aft³/h</t>
  </si>
  <si>
    <t>lbs/aft³</t>
  </si>
  <si>
    <t>1 x 1/4" NPT female</t>
  </si>
  <si>
    <t>1 x 1/8" NPT female</t>
  </si>
  <si>
    <t>1 x 1/4" резьба NPT</t>
  </si>
  <si>
    <t>1 x 1/8" резьба NPT</t>
  </si>
  <si>
    <t>Notice: The explosionproof certification depends on the range of ambient temperatur</t>
  </si>
  <si>
    <t>I/O Interface configurations</t>
  </si>
  <si>
    <t>Агрессивность</t>
  </si>
  <si>
    <t>Примечание: Сумма &gt; 100% недопустима</t>
  </si>
  <si>
    <t>Коррозионные</t>
  </si>
  <si>
    <t>Био газ (сухой)</t>
  </si>
  <si>
    <t>Био газ (влажный)</t>
  </si>
  <si>
    <t>Этилен</t>
  </si>
  <si>
    <t>Горячий пар</t>
  </si>
  <si>
    <t>Технический газ</t>
  </si>
  <si>
    <t>ПНГ (сухой)</t>
  </si>
  <si>
    <t>ПНГ (влажный)</t>
  </si>
  <si>
    <t>н-Бутан (n-C4H10)</t>
  </si>
  <si>
    <t>и-Бутан (i-C4H10)</t>
  </si>
  <si>
    <t>н-Пентан (n-C5H12)</t>
  </si>
  <si>
    <t>и-Пентан (i-C5H12)</t>
  </si>
  <si>
    <t>н-Гексан (n-C6H14)</t>
  </si>
  <si>
    <t>н-Гептан (n-C7H16)</t>
  </si>
  <si>
    <t>н-Октан (n-C8H18)</t>
  </si>
  <si>
    <t>н-Нонан (n-C9H20)</t>
  </si>
  <si>
    <t>н-Декан (n-C10H22)</t>
  </si>
  <si>
    <t>Водород (H2)</t>
  </si>
  <si>
    <t>Моноокс. Угл. (CO)</t>
  </si>
  <si>
    <t>Вода (H2O)</t>
  </si>
  <si>
    <t>Гелий (He)</t>
  </si>
  <si>
    <t>Аргон (Ar)</t>
  </si>
  <si>
    <t>Время испытания</t>
  </si>
  <si>
    <t>Гидростатический тест</t>
  </si>
  <si>
    <t>Давление испытания</t>
  </si>
  <si>
    <t>1.1 x расчётного давления</t>
  </si>
  <si>
    <t>1.5 x расчётного давления</t>
  </si>
  <si>
    <t>Исполнение без Ex защиты</t>
  </si>
  <si>
    <t>Тип калибровки</t>
  </si>
  <si>
    <t>не заполнять</t>
  </si>
  <si>
    <t>Приемка</t>
  </si>
  <si>
    <t>-</t>
  </si>
  <si>
    <t>Технологический учет</t>
  </si>
  <si>
    <t>Алжир</t>
  </si>
  <si>
    <t xml:space="preserve">Беларусь </t>
  </si>
  <si>
    <t>Хорватия</t>
  </si>
  <si>
    <t>Дания</t>
  </si>
  <si>
    <t>Египет</t>
  </si>
  <si>
    <t>Европа - MID</t>
  </si>
  <si>
    <t>Норвегия</t>
  </si>
  <si>
    <t>Оман</t>
  </si>
  <si>
    <t>Суадовская Арабия</t>
  </si>
  <si>
    <t>Испания</t>
  </si>
  <si>
    <t>EVC - с внутр. питанием датчиков P,T.</t>
  </si>
  <si>
    <t>г/м3</t>
  </si>
  <si>
    <t>г/Нм3</t>
  </si>
  <si>
    <t>Дюйм</t>
  </si>
  <si>
    <t>Количество</t>
  </si>
  <si>
    <t>Пояснения по заполнению опросного листа</t>
  </si>
  <si>
    <t>Для отображения размерностей величин в программе Excel необходимо разрешить выполнение макросов.</t>
  </si>
  <si>
    <t>В общем случае достаточно заполнения граф, выделенных желтым цветом.</t>
  </si>
  <si>
    <t>Лист 1</t>
  </si>
  <si>
    <r>
      <t xml:space="preserve">1. </t>
    </r>
    <r>
      <rPr>
        <sz val="10"/>
        <rFont val="Arial"/>
        <family val="2"/>
        <charset val="204"/>
      </rPr>
      <t>После указания данных по заказчику и проекту, для активации последующих пунктов начинать заполнение необходимо  с пункта «Размер счетчика».</t>
    </r>
  </si>
  <si>
    <t>2. В пункте  «Кол-во лучей» выбор осуществляется исходя из требований к относительной погрешности измерений объемного расхода в рабочих условиях:</t>
  </si>
  <si>
    <t>«2» луча – 1%</t>
  </si>
  <si>
    <t>«4» луча - 0,5% (после сухой калибровки) или 0,3% (после калибровки на проливном стенде)</t>
  </si>
  <si>
    <t>«2plex (4+1)»  – выбор модификации Flowsic600 2plex</t>
  </si>
  <si>
    <t>«Quato (4+4)» - выбор модификации Flowsic600Quato.</t>
  </si>
  <si>
    <t>*) Описание данных модификаций см. ниже.</t>
  </si>
  <si>
    <r>
      <t>3.</t>
    </r>
    <r>
      <rPr>
        <b/>
        <sz val="10"/>
        <rFont val="Arial"/>
        <family val="2"/>
        <charset val="204"/>
      </rPr>
      <t xml:space="preserve"> </t>
    </r>
    <r>
      <rPr>
        <sz val="10"/>
        <rFont val="Arial"/>
        <family val="2"/>
        <charset val="204"/>
      </rPr>
      <t>Пункт «G-класс» заполнять не нужно (имеет значение только в европейском внутреннем регулировании).</t>
    </r>
  </si>
  <si>
    <t>5. При указании наличия близкорасположенного регулятора давления в соответствующем пункте, необходимо указать расстояние и перепад давления на регуляторе.</t>
  </si>
  <si>
    <t>Лист 2</t>
  </si>
  <si>
    <t>В разделе «Счетчик» приведены пункты, относящиеся непосредственно к конструктивному исполнению корпуса счетчика (поз.4 рис.1)</t>
  </si>
  <si>
    <t>6.  При выборе материала корпуса, необходимо руководствоваться указанным рабочим температурным диапазоном материала.</t>
  </si>
  <si>
    <t xml:space="preserve">7. «Соответствие по давлению» – не требует заполнения. При производстве по умолчанию руководствуются правилами PED (Pressure Equipment Directive). </t>
  </si>
  <si>
    <t>8. «Тип фланцев» - Фланцы корпуса могут быть выполнены согласно ГОСТ, DIN, ANSI.</t>
  </si>
  <si>
    <t xml:space="preserve">9. «Вн. диам. подсоед. трубы» - указывать внутренний диаметр существующей или проектируемой трубы измерительного участка. 
Присоединительный размер корпуса каждого счетчика изготавливается при производстве под конкретный размер. </t>
  </si>
  <si>
    <t>10.   «Защит. кожух датчиков» - выбор материала внешнего кожуха, закрывающего место крепления ультразвуковых датчиков в корпусе счетчика (см. поз. 3 «Крышка», рис.1). 
Стандартно используется алюминий. Нержавеющая сталь, если агрессивные условия – морские условия и пр.</t>
  </si>
  <si>
    <t>11. «Отбор давления» - отверстие для отбора давления - подключение импульсной трубки или датчика давления (поз.6 рис.1). 
Стандартно для всех диаметров – 1/4 NPTF (кроме Ду80 – 1/8 NPTF). Другие исполнения опционально.</t>
  </si>
  <si>
    <t>12. «Внешняя покраска» - покрытие корпуса счетчика. Стандартный цвет - RAL 9002 (серо-белый). Другие цвета – опционально.</t>
  </si>
  <si>
    <t>13. «Тест на герметичность» - Опрессовка корпуса в сборе - стандартно согласно AGA9: среда воздух, давление 210 psi (14,5 бар, абс.). Другое – опционально.</t>
  </si>
  <si>
    <t>14. «Гидростатический тест» - Опрессовка корпуса водой, 1,5 х рабочего давления, 30 мин. Другое - опционально.</t>
  </si>
  <si>
    <t>15. «Замена датчиков без остановки потока» - замена ультразвуковых приемопередатчиков возможна при рабочем давлении до 155 бар. Применимо от Ду100 для двулучевых
 и от Ду150 для четырехлучевых счетчиков. Для осуществления замены необходимо специальное устройство, поставляется опционально.</t>
  </si>
  <si>
    <t>В разделе «Блок электроники» приведены пункты, относящиеся к Блоку обработки информации (SPU) счетчика (поз.7 рис.1)</t>
  </si>
  <si>
    <t xml:space="preserve">16. «Ех защита» - выбор вида исполнения по взрывозащищенности (IIA, IIB, IIC). </t>
  </si>
  <si>
    <t>17. М20х1,5 – посадочные отверстия под взрывозащищенные кабельные вводы. Стандартно в комплекте – кабельные вводы из пластика.</t>
  </si>
  <si>
    <t>18. «Единицы» - выбор системы единиц – метрическая/имперская. В выбранных единицах будут отображаться показания на дисплее и указаны параметры на шильдике.</t>
  </si>
  <si>
    <t>19. «Передняя панель» - стандартно LCD (жидкокристаллический дисплей) позволяющий осуществлять управление и параметризацию прибора с помощью клавиш,
 расположенных на панели, отображает результаты измерений, показания внешних датчиков и пр. Опционально: LED – светодиодная панель, реализующая цветовую индикацию состояния прибора. Отображение информации и управление с дисплея невозможно.</t>
  </si>
  <si>
    <t>20. «Материал корпуса» - Стандартно используется алюминий. Нержавеющая сталь, если агрессивные условия – морские условия и пр.</t>
  </si>
  <si>
    <t xml:space="preserve">Раздел «Калибровка» заполняется только при выборе счетчиков для коммерческого учета – четырех лучевые, Quatro, 2plex. </t>
  </si>
  <si>
    <t>21. «Калибровка» - вид выбирается в зависимости от требуемой погрешности.</t>
  </si>
  <si>
    <t>22. «Тестирующая среда» - Воздух - для калибровки на атмосферном давлении, природный газ – для калибровки на высоком давлении</t>
  </si>
  <si>
    <t>Лист 3</t>
  </si>
  <si>
    <t>25. Ethernet-выход реализуется через опциональный внешний модуль RS485/ Ethernet.</t>
  </si>
  <si>
    <t>*)</t>
  </si>
  <si>
    <t xml:space="preserve">Модификация FLOWSIC 600 Quatro – в один стандартный корпус встроено два идентичных независимых счетчика, каждый из которых оснащен четырьмя парами 
приемопередатчиков и электронным блоком. Данная система позволяет осуществлять полное дублирование результатов измерений в одной измерительной точке одним прибором. </t>
  </si>
  <si>
    <t>Модификация FLOWSIC 600 2plex – в один стандартный корпус встроено два независимых счетчика, один из которых оснащен четырьмя парами приемопередатчиков и 
электронным блоком – измерительный счетчик, другой - одной парой приемопередатчиков и электронным блоком – контрольный счетчик. Данная система позволяет осуществлять контроль состояния измеряемой среды для дополнительного контроля показаний измерительного счетчика. Так же, система реализует принцип «CBM – Condition Base Maintenance (обслуживание по текущему состоянию)».</t>
  </si>
  <si>
    <t xml:space="preserve">Погрешность измерений данных модификаций, как для стандартной четырех лучевой версии. </t>
  </si>
  <si>
    <t>Рис.  1 Конструкция счетчика Flowsic600.</t>
  </si>
  <si>
    <t>associated gas (dry)</t>
  </si>
  <si>
    <t>associated gas (wet)</t>
  </si>
  <si>
    <t>23.  «Конфигурация входов/выходов» - выбирается одна из 10 стандартных конфигураций.</t>
  </si>
  <si>
    <t>24. Если необходим встроенный вычислитель расхода, выбирается одна конфигурация «А, B, C, D ». В данных конфигурациях клеммы аналогового входа заняты для подсоединения датчиков температуры, давления по HART-шине.</t>
  </si>
  <si>
    <t>a. В конфигурациях А, B аналоговый выход пассивный – питание датчиков Р, Т осуществляется от внешнего источника питания; в  конфигурациях С, D аналоговый выход активный – питание датчиков Р, Т осуществляется от FLOWSIC600 непосредственно.</t>
  </si>
  <si>
    <t>б. Если в этой конфигурации необходим аналоговый выход для вывода измеренных значений, опционально должен быть заказан внешний частото-аналоговый модуль.</t>
  </si>
  <si>
    <t>26. В пункте «Специальные требования» указывается дополнительная существующая информация по точке измерения и требования к оборудованию.</t>
  </si>
  <si>
    <t>Type of surface - GOST 12815-80: Version 1</t>
  </si>
  <si>
    <t>Италия</t>
  </si>
  <si>
    <t>Сухая калибровка (+/- 0,5% - 4 луча; +/-1% - 2 луча)</t>
  </si>
  <si>
    <t>Пожалуйста, укажите</t>
  </si>
  <si>
    <t>g/m³(a.c.)</t>
  </si>
  <si>
    <t>kg/m³(a.c.)</t>
  </si>
  <si>
    <t>№ Опр. листа</t>
  </si>
  <si>
    <t>Замена датчиков под рабочим давлением</t>
  </si>
  <si>
    <t>EVC - Встроенный вычислитель расхода</t>
  </si>
  <si>
    <t>бар(и)</t>
  </si>
  <si>
    <t>psi(и)</t>
  </si>
  <si>
    <t>м³/ч</t>
  </si>
  <si>
    <t>Нм³/ч</t>
  </si>
  <si>
    <t>Ряд / Поверхность</t>
  </si>
  <si>
    <t>EVC - с внеш. питанием датчиков P,T</t>
  </si>
  <si>
    <t>Два слоя: эпоксидный/акриловый; RAL 9002</t>
  </si>
  <si>
    <t>Плотность (р.у.)</t>
  </si>
  <si>
    <t>Описание</t>
  </si>
  <si>
    <t>4. При наличии жидкости в измеряемом газе, необходимо в графе «Конденсат» указать «Да» и в появившемся меню указать ее колличественное содержание в рабочих условиях, выбрав необходимую размерность</t>
  </si>
  <si>
    <t xml:space="preserve">  </t>
  </si>
  <si>
    <t>Примечание: Диапазон окружающей температуры SPU ограничен сертификатом взрывозащиты ATEX до - 40С. При более низкой температуре необходимо обеспечить термоизоляцию/ обогрев.</t>
  </si>
  <si>
    <t>Signal processing unit (SPU)</t>
  </si>
  <si>
    <t>В следующей таблице Вы можете определить назначение выходных сигналов. Для установки конфигураций 1 и 2 смотрите комментарии также информацию ниже.</t>
  </si>
  <si>
    <t>Qt</t>
  </si>
  <si>
    <t>Специальный</t>
  </si>
  <si>
    <t>Примечание</t>
  </si>
  <si>
    <t>Макс.расх.(р.у.)</t>
  </si>
  <si>
    <t>Мин.расх. (р.у.)</t>
  </si>
  <si>
    <t>Проливка воздухом 1 атм. (+/-0,5%; 4 луча)</t>
  </si>
  <si>
    <t>Проливка природным газом (+/-0,3%; 4 луча )</t>
  </si>
  <si>
    <t>Специальная</t>
  </si>
  <si>
    <t>Русский</t>
  </si>
  <si>
    <t>Язык</t>
  </si>
  <si>
    <t>Выберите из списка</t>
  </si>
  <si>
    <t>КТМ600 РУС</t>
  </si>
  <si>
    <t>1 луч (только для Ду ≤ 250)</t>
  </si>
  <si>
    <t>Блок обработки сигналов (БОС)</t>
  </si>
  <si>
    <t>02'' / Ду 050</t>
  </si>
  <si>
    <t>03'' / Ду 080</t>
  </si>
  <si>
    <t>04'' / Ду 100</t>
  </si>
  <si>
    <t>06'' / Ду 150</t>
  </si>
  <si>
    <t>08'' / Ду 200</t>
  </si>
  <si>
    <t>10'' / Ду 250</t>
  </si>
  <si>
    <t>12'' / Ду 300</t>
  </si>
  <si>
    <t>14'' / Ду 350</t>
  </si>
  <si>
    <t>16'' / Ду 400</t>
  </si>
  <si>
    <t>18'' / Ду 450</t>
  </si>
  <si>
    <t>20'' / Ду 500</t>
  </si>
  <si>
    <t>22'' / Ду 550</t>
  </si>
  <si>
    <t>24'' / Ду 600</t>
  </si>
  <si>
    <t>26'' / Ду 650</t>
  </si>
  <si>
    <t>28'' / Ду 700</t>
  </si>
  <si>
    <t>30'' / Ду 750</t>
  </si>
  <si>
    <t>32" / Ду 800</t>
  </si>
  <si>
    <t>34" / Ду 850</t>
  </si>
  <si>
    <t>36" / Ду 900</t>
  </si>
  <si>
    <t>38" / Ду 950</t>
  </si>
  <si>
    <t>40" / Ду 1000</t>
  </si>
  <si>
    <t>42" / Ду 1050</t>
  </si>
  <si>
    <t>44" / Ду 1100</t>
  </si>
  <si>
    <t>46" / Ду 1150</t>
  </si>
  <si>
    <t>48" / Ду 1200</t>
  </si>
  <si>
    <t>4x1</t>
  </si>
  <si>
    <t>4x4</t>
  </si>
  <si>
    <t>Ultrasonic Flow Counter</t>
  </si>
  <si>
    <t>Language</t>
  </si>
  <si>
    <t>English (Metrical)</t>
  </si>
  <si>
    <t>English (Imperial)</t>
  </si>
  <si>
    <t>Язык дисплея (только для ЖК дисплеев)</t>
  </si>
  <si>
    <t>Конфигурация выходов блока обработки данных</t>
  </si>
  <si>
    <t>Материал блока БОС</t>
  </si>
  <si>
    <t>Данная тех. спецификация создана на основании заполненного опросного листа и служит основанием для заказа. Недостающая информация была/будет дополнена специалистами ООО "КТМ-Сервис" и помечена ''*''.</t>
  </si>
  <si>
    <t>Subsequent changes will require approval by ООО "КТМ-Сервис". Effects on date of despatch are the responsibility of the client.  Any additional cost involved will be charged.</t>
  </si>
  <si>
    <t xml:space="preserve">Последующие изменения в тех. спецификации должны быть согласованны с ООО "КТМ-Сервис". При внесении изменений в данную спецификации ответственность за увеличение сроков поставки лежит на стороне заказчика. Любые изменения, влекущие увеличение стоимости, должны быть дополнительно оплачены.  </t>
  </si>
  <si>
    <t>Примечание: Ограниченные рабочие условия. Пожалуйста, свяжитесь с Вашим локальным представителем ООО "КТМ-Сервис".</t>
  </si>
  <si>
    <t>Размер корпуса</t>
  </si>
  <si>
    <t>Расход, м3/ч</t>
  </si>
  <si>
    <t>Макс. V</t>
  </si>
  <si>
    <t>02'' /Ду 050</t>
  </si>
  <si>
    <t>03'' /Ду 080</t>
  </si>
  <si>
    <t>04'' /Ду 100</t>
  </si>
  <si>
    <t>06'' /Ду 150</t>
  </si>
  <si>
    <t>10'' /Ду 250</t>
  </si>
  <si>
    <t>12'' /Ду 300</t>
  </si>
  <si>
    <t>14'' /Ду 350</t>
  </si>
  <si>
    <t>16'' /Ду 400</t>
  </si>
  <si>
    <t>18'' /Ду 450</t>
  </si>
  <si>
    <t>20'' /Ду 500</t>
  </si>
  <si>
    <t>22'' /Ду 550</t>
  </si>
  <si>
    <t>24'' /Ду 600</t>
  </si>
  <si>
    <t>26'' /Ду 650</t>
  </si>
  <si>
    <t>28'' /Ду 700</t>
  </si>
  <si>
    <t>30'' /Ду 750</t>
  </si>
  <si>
    <t>32" /Ду 800</t>
  </si>
  <si>
    <t>34'' /Ду 850</t>
  </si>
  <si>
    <t>36" /Ду 900</t>
  </si>
  <si>
    <t>38'' /Ду 950</t>
  </si>
  <si>
    <t>40" /Ду 1000</t>
  </si>
  <si>
    <t>42" /Ду 1050</t>
  </si>
  <si>
    <t>44" /Ду 1100</t>
  </si>
  <si>
    <t>46" /Ду 1150</t>
  </si>
  <si>
    <t>48" /Ду 1200</t>
  </si>
  <si>
    <t>52" /Ду 1300</t>
  </si>
  <si>
    <t>56" /Ду 1400</t>
  </si>
  <si>
    <t>This data sheet has been created based on the technical details provided with the order. Missing information has been completed by JSC "KTM-Service" and marked with a *.</t>
  </si>
  <si>
    <t>Счетчик газа ультразвуковой</t>
  </si>
  <si>
    <t xml:space="preserve"> ОПРОСНЫЙ ЛИСТ ДЛЯ: СЧЕТЧИК ГАЗА УЛЬТРАЗВУКОВОЙ</t>
  </si>
  <si>
    <t xml:space="preserve"> INSTRUMENT DATA SHEET FOR:  ULTRASONIC FLOW COUNTER</t>
  </si>
  <si>
    <t>Расчетн. давление (изб.)</t>
  </si>
  <si>
    <t>ГОСТ Р МЭК 60079 IIA T4 (1/2" NPT)</t>
  </si>
  <si>
    <t>ГОСТ Р МЭК 60079 IIC T4 (1/2" NPT)</t>
  </si>
  <si>
    <t>ГОСТ Р МЭК 60079 IIA T4 (M20x1.5)</t>
  </si>
  <si>
    <t>ГОСТ Р МЭК 60079 IIC T4 (M20x1.5)</t>
  </si>
  <si>
    <t>JSC KuibishevTelecom-Metrology</t>
  </si>
  <si>
    <t>ООО "НПП КуйбышевТелеком-Метрология"</t>
  </si>
  <si>
    <t>443052, RF, Samara, Zemetsa str, building 26"B"</t>
  </si>
  <si>
    <t>443052, РФ, г.о. Самара, ул. Земеца 26Б, оф 413</t>
  </si>
  <si>
    <t>Phone: 8(846)202-00-65 |Fax: 8(846)206-01-80 | E-mail: info@ktkprom.com</t>
  </si>
  <si>
    <t>Телефон: 8(846)202-00-65 |Факс: 8(846)206-01-80 | E-mail: info@ktkprom.com</t>
  </si>
  <si>
    <t>№1 
- 2x импульсных/цифровых выхода
- 1x аналоговый вход 4-20мА + HART v7 Master (подключение датчиков давления, температуры)
- 1x цифровой выход RS-485 Slave, Modbus RTU и Modbus ASCII</t>
  </si>
  <si>
    <t>№2 
- 1x аналоговый выход 4-20мА + HART v7 Slave
- 1x аналоговый вход 4-20мА + HART v7 Master (подключение датчиков давления, температуры)
- 1x цифровой выход RS-485 Slave, Modbus RTU и Modbus ASCII</t>
  </si>
  <si>
    <t>№3 
- 2x импульсных/цифровых выхода
- 1x аналоговый выход 4-20мА + HART v7 Slave
- 1x цифровой выход RS-485 Slave, Modbus RTU и Modbus ASCII</t>
  </si>
  <si>
    <t>№4 
- 2 импульсных/цифровых выхода
- 1x аналоговый вход 4-20мА + HART v7 Master (подключение датчиков давления, температуры)
- 1x выход Ethernet Slave</t>
  </si>
  <si>
    <t>№5 
- 3x импульсных/цифровых выхода
- 2x цифровой выход RS-485 Slave, Modbus RTU и Modbus ASCII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</si>
</sst>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font>
      <sz val="10"/>
      <name val="Arial"/>
    </font>
    <font>
      <sz val="10"/>
      <name val="Arial"/>
      <family val="2"/>
      <charset val="204"/>
    </font>
    <font>
      <sz val="10"/>
      <name val="Arial"/>
      <family val="2"/>
    </font>
    <font>
      <b/>
      <sz val="10"/>
      <name val="Arial"/>
      <family val="2"/>
    </font>
    <font>
      <sz val="11"/>
      <name val="Arial"/>
      <family val="2"/>
    </font>
    <font>
      <b/>
      <sz val="11"/>
      <name val="Arial"/>
      <family val="2"/>
    </font>
    <font>
      <sz val="11"/>
      <name val="Arial"/>
      <family val="2"/>
    </font>
    <font>
      <b/>
      <sz val="11"/>
      <name val="Arial"/>
      <family val="2"/>
    </font>
    <font>
      <b/>
      <i/>
      <sz val="10"/>
      <name val="Arial"/>
      <family val="2"/>
    </font>
    <font>
      <b/>
      <i/>
      <sz val="11"/>
      <name val="Arial"/>
      <family val="2"/>
    </font>
    <font>
      <sz val="9"/>
      <name val="Arial"/>
      <family val="2"/>
    </font>
    <font>
      <sz val="8"/>
      <name val="Arial"/>
      <family val="2"/>
    </font>
    <font>
      <b/>
      <sz val="8"/>
      <name val="Arial"/>
      <family val="2"/>
    </font>
    <font>
      <b/>
      <sz val="9"/>
      <name val="Arial"/>
      <family val="2"/>
    </font>
    <font>
      <b/>
      <i/>
      <sz val="10"/>
      <color indexed="10"/>
      <name val="Arial"/>
      <family val="2"/>
    </font>
    <font>
      <b/>
      <i/>
      <sz val="8"/>
      <color indexed="12"/>
      <name val="Arial"/>
      <family val="2"/>
    </font>
    <font>
      <sz val="8"/>
      <color indexed="12"/>
      <name val="Arial"/>
      <family val="2"/>
    </font>
    <font>
      <sz val="10"/>
      <name val="Arial CYR"/>
      <family val="2"/>
      <charset val="204"/>
    </font>
    <font>
      <sz val="10"/>
      <color indexed="12"/>
      <name val="Arial"/>
      <family val="2"/>
    </font>
    <font>
      <b/>
      <sz val="10"/>
      <name val="Arial CYR"/>
      <family val="2"/>
      <charset val="204"/>
    </font>
    <font>
      <i/>
      <sz val="11"/>
      <name val="Arial"/>
      <family val="2"/>
    </font>
    <font>
      <sz val="10"/>
      <color indexed="10"/>
      <name val="Arial"/>
      <family val="2"/>
    </font>
    <font>
      <sz val="10"/>
      <name val="Arial"/>
      <family val="2"/>
      <charset val="204"/>
    </font>
    <font>
      <sz val="8"/>
      <name val="Arial"/>
      <family val="2"/>
    </font>
    <font>
      <sz val="8"/>
      <color indexed="81"/>
      <name val="Tahoma"/>
      <family val="2"/>
    </font>
    <font>
      <b/>
      <sz val="8"/>
      <color indexed="81"/>
      <name val="Tahoma"/>
      <family val="2"/>
    </font>
    <font>
      <b/>
      <sz val="12"/>
      <name val="Arial"/>
      <family val="2"/>
      <charset val="204"/>
    </font>
    <font>
      <i/>
      <sz val="10"/>
      <name val="Arial"/>
      <family val="2"/>
      <charset val="204"/>
    </font>
    <font>
      <b/>
      <sz val="10"/>
      <name val="Arial"/>
      <family val="2"/>
      <charset val="204"/>
    </font>
    <font>
      <sz val="9"/>
      <name val="Arial"/>
      <family val="2"/>
      <charset val="204"/>
    </font>
    <font>
      <i/>
      <sz val="9"/>
      <name val="Arial"/>
      <family val="2"/>
      <charset val="204"/>
    </font>
    <font>
      <b/>
      <i/>
      <sz val="10"/>
      <name val="Arial"/>
      <family val="2"/>
      <charset val="204"/>
    </font>
    <font>
      <sz val="11"/>
      <color theme="1"/>
      <name val="Calibri"/>
      <family val="2"/>
      <scheme val="minor"/>
    </font>
    <font>
      <sz val="11"/>
      <name val="Calibri"/>
      <family val="2"/>
      <scheme val="minor"/>
    </font>
    <font>
      <b/>
      <sz val="16"/>
      <color theme="0"/>
      <name val="Arial"/>
      <family val="2"/>
    </font>
    <font>
      <sz val="10"/>
      <color theme="0"/>
      <name val="Arial"/>
      <family val="2"/>
    </font>
    <font>
      <sz val="9"/>
      <color theme="0"/>
      <name val="Arial"/>
      <family val="2"/>
    </font>
    <font>
      <sz val="11"/>
      <color theme="0"/>
      <name val="Arial"/>
      <family val="2"/>
    </font>
    <font>
      <b/>
      <sz val="9"/>
      <color theme="0"/>
      <name val="Arial"/>
      <family val="2"/>
    </font>
    <font>
      <sz val="8"/>
      <color theme="0"/>
      <name val="Arial"/>
      <family val="2"/>
    </font>
    <font>
      <b/>
      <sz val="10"/>
      <color theme="0"/>
      <name val="Arial"/>
      <family val="2"/>
    </font>
    <font>
      <sz val="11"/>
      <name val="Kartika"/>
      <family val="1"/>
    </font>
    <font>
      <sz val="10"/>
      <name val="Kartika"/>
      <family val="1"/>
    </font>
    <font>
      <sz val="9"/>
      <name val="Kartika"/>
      <family val="1"/>
    </font>
    <font>
      <sz val="11"/>
      <color indexed="10"/>
      <name val="Kartika"/>
      <family val="1"/>
    </font>
    <font>
      <sz val="11"/>
      <color theme="0"/>
      <name val="Kartika"/>
      <family val="1"/>
    </font>
    <font>
      <sz val="11"/>
      <color indexed="22"/>
      <name val="Kartika"/>
      <family val="1"/>
    </font>
    <font>
      <i/>
      <sz val="11"/>
      <color indexed="12"/>
      <name val="Kartika"/>
      <family val="1"/>
    </font>
    <font>
      <b/>
      <sz val="9"/>
      <name val="Kartika"/>
      <family val="1"/>
    </font>
    <font>
      <sz val="10"/>
      <color indexed="9"/>
      <name val="Kartika"/>
      <family val="1"/>
    </font>
    <font>
      <sz val="11"/>
      <name val="Arial"/>
      <family val="2"/>
      <charset val="204"/>
    </font>
    <font>
      <b/>
      <sz val="18"/>
      <color rgb="FF333399"/>
      <name val="Arial"/>
      <family val="2"/>
      <charset val="204"/>
    </font>
    <font>
      <b/>
      <sz val="22"/>
      <color rgb="FF333399"/>
      <name val="Arial"/>
      <family val="2"/>
      <charset val="204"/>
    </font>
    <font>
      <sz val="12"/>
      <name val="Arial"/>
      <family val="2"/>
      <charset val="204"/>
    </font>
    <font>
      <sz val="12"/>
      <color theme="0"/>
      <name val="Arial"/>
      <family val="2"/>
      <charset val="204"/>
    </font>
    <font>
      <b/>
      <sz val="11"/>
      <color indexed="12"/>
      <name val="Arial"/>
      <family val="2"/>
      <charset val="204"/>
    </font>
    <font>
      <sz val="11"/>
      <color theme="0"/>
      <name val="Arial"/>
      <family val="2"/>
      <charset val="204"/>
    </font>
    <font>
      <sz val="11"/>
      <color indexed="10"/>
      <name val="Arial"/>
      <family val="2"/>
      <charset val="204"/>
    </font>
    <font>
      <sz val="11"/>
      <color indexed="9"/>
      <name val="Arial"/>
      <family val="2"/>
      <charset val="204"/>
    </font>
    <font>
      <b/>
      <sz val="18"/>
      <color rgb="FF16365C"/>
      <name val="Arial"/>
      <family val="2"/>
      <charset val="204"/>
    </font>
    <font>
      <b/>
      <i/>
      <sz val="12"/>
      <name val="Arial"/>
      <family val="2"/>
      <charset val="204"/>
    </font>
    <font>
      <sz val="12"/>
      <name val="Kartika"/>
      <family val="1"/>
    </font>
    <font>
      <sz val="11"/>
      <color rgb="FF000000"/>
      <name val="Arial"/>
      <family val="2"/>
      <charset val="204"/>
    </font>
  </fonts>
  <fills count="3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9"/>
        <bgColor indexed="41"/>
      </patternFill>
    </fill>
    <fill>
      <patternFill patternType="solid">
        <fgColor indexed="9"/>
        <bgColor indexed="31"/>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
      <patternFill patternType="solid">
        <fgColor rgb="FF333399"/>
        <bgColor indexed="64"/>
      </patternFill>
    </fill>
    <fill>
      <patternFill patternType="solid">
        <fgColor rgb="FFDAECFA"/>
        <bgColor indexed="64"/>
      </patternFill>
    </fill>
    <fill>
      <patternFill patternType="solid">
        <fgColor theme="4" tint="0.79998168889431442"/>
        <bgColor indexed="64"/>
      </patternFill>
    </fill>
    <fill>
      <patternFill patternType="solid">
        <fgColor rgb="FF9CCBF2"/>
        <bgColor indexed="64"/>
      </patternFill>
    </fill>
    <fill>
      <patternFill patternType="solid">
        <fgColor rgb="FFDCE6F1"/>
        <bgColor indexed="64"/>
      </patternFill>
    </fill>
    <fill>
      <patternFill patternType="solid">
        <fgColor rgb="FF9CCBF2"/>
        <bgColor auto="1"/>
      </patternFill>
    </fill>
    <fill>
      <patternFill patternType="solid">
        <fgColor rgb="FF9CCBF2"/>
        <bgColor indexed="41"/>
      </patternFill>
    </fill>
  </fills>
  <borders count="118">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s>
  <cellStyleXfs count="3">
    <xf numFmtId="0" fontId="0" fillId="0" borderId="0"/>
    <xf numFmtId="0" fontId="2" fillId="0" borderId="0"/>
    <xf numFmtId="0" fontId="32" fillId="0" borderId="0"/>
  </cellStyleXfs>
  <cellXfs count="833">
    <xf numFmtId="0" fontId="0" fillId="0" borderId="0" xfId="0"/>
    <xf numFmtId="0" fontId="2" fillId="0" borderId="0" xfId="0" applyFont="1"/>
    <xf numFmtId="0" fontId="1" fillId="0" borderId="0" xfId="0" applyFont="1"/>
    <xf numFmtId="0" fontId="3" fillId="0" borderId="0" xfId="0" applyFont="1"/>
    <xf numFmtId="49" fontId="1" fillId="0" borderId="0" xfId="0" applyNumberFormat="1" applyFont="1"/>
    <xf numFmtId="0" fontId="2" fillId="0" borderId="0" xfId="0" applyFont="1" applyFill="1" applyBorder="1" applyProtection="1">
      <protection hidden="1"/>
    </xf>
    <xf numFmtId="0" fontId="6" fillId="0" borderId="0" xfId="0" applyFont="1" applyFill="1" applyBorder="1" applyAlignment="1" applyProtection="1">
      <protection hidden="1"/>
    </xf>
    <xf numFmtId="0" fontId="0" fillId="0" borderId="0" xfId="0" applyBorder="1"/>
    <xf numFmtId="0" fontId="0" fillId="0" borderId="1" xfId="0" applyBorder="1"/>
    <xf numFmtId="0" fontId="8" fillId="0" borderId="0" xfId="0" applyFont="1"/>
    <xf numFmtId="0" fontId="7" fillId="0" borderId="0" xfId="0" applyFont="1"/>
    <xf numFmtId="0" fontId="4"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8" fillId="0" borderId="0" xfId="0" applyFont="1" applyFill="1" applyBorder="1" applyProtection="1"/>
    <xf numFmtId="0" fontId="8" fillId="2" borderId="0" xfId="0" applyFont="1" applyFill="1"/>
    <xf numFmtId="49" fontId="4" fillId="0" borderId="0" xfId="0" applyNumberFormat="1" applyFont="1" applyAlignment="1">
      <alignment horizontal="center"/>
    </xf>
    <xf numFmtId="0" fontId="9" fillId="0" borderId="0" xfId="0" applyFont="1"/>
    <xf numFmtId="49" fontId="2" fillId="0" borderId="0" xfId="0" applyNumberFormat="1" applyFont="1" applyFill="1" applyBorder="1"/>
    <xf numFmtId="49" fontId="2" fillId="0" borderId="0" xfId="0" applyNumberFormat="1" applyFont="1" applyFill="1" applyBorder="1" applyAlignment="1" applyProtection="1">
      <alignment horizontal="left"/>
      <protection locked="0"/>
    </xf>
    <xf numFmtId="0" fontId="2" fillId="0" borderId="0" xfId="0" applyFont="1" applyFill="1" applyBorder="1" applyAlignment="1">
      <alignment horizontal="left"/>
    </xf>
    <xf numFmtId="0" fontId="12" fillId="0" borderId="0" xfId="0" applyFont="1" applyFill="1" applyBorder="1" applyProtection="1">
      <protection hidden="1"/>
    </xf>
    <xf numFmtId="0" fontId="2" fillId="0" borderId="0" xfId="0" applyFont="1" applyFill="1" applyBorder="1" applyAlignment="1" applyProtection="1">
      <alignment horizontal="center"/>
      <protection hidden="1"/>
    </xf>
    <xf numFmtId="0" fontId="12" fillId="3" borderId="0" xfId="0" applyFont="1" applyFill="1" applyBorder="1" applyProtection="1">
      <protection hidden="1"/>
    </xf>
    <xf numFmtId="0" fontId="11" fillId="3" borderId="0" xfId="0" applyFont="1" applyFill="1" applyBorder="1" applyProtection="1">
      <protection hidden="1"/>
    </xf>
    <xf numFmtId="0" fontId="11" fillId="0" borderId="0" xfId="0" applyFont="1" applyFill="1" applyBorder="1" applyProtection="1">
      <protection hidden="1"/>
    </xf>
    <xf numFmtId="0" fontId="11" fillId="0" borderId="0" xfId="0" applyFont="1" applyFill="1" applyBorder="1" applyAlignment="1" applyProtection="1">
      <alignment horizontal="center"/>
      <protection hidden="1"/>
    </xf>
    <xf numFmtId="0" fontId="12" fillId="7" borderId="0" xfId="0" applyFont="1" applyFill="1" applyBorder="1" applyProtection="1">
      <protection hidden="1"/>
    </xf>
    <xf numFmtId="0" fontId="12" fillId="7" borderId="0" xfId="0"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0" fontId="12" fillId="0" borderId="0" xfId="0" applyFont="1" applyBorder="1"/>
    <xf numFmtId="0" fontId="11" fillId="7" borderId="0" xfId="0" applyFont="1" applyFill="1" applyBorder="1" applyProtection="1">
      <protection hidden="1"/>
    </xf>
    <xf numFmtId="0" fontId="11" fillId="0" borderId="0" xfId="0" applyFont="1" applyBorder="1"/>
    <xf numFmtId="0" fontId="11" fillId="7" borderId="0" xfId="0" applyFont="1" applyFill="1" applyBorder="1"/>
    <xf numFmtId="0" fontId="11" fillId="0" borderId="0" xfId="0" applyFont="1" applyBorder="1" applyAlignment="1">
      <alignment horizontal="center"/>
    </xf>
    <xf numFmtId="16" fontId="11" fillId="0" borderId="0" xfId="0" quotePrefix="1" applyNumberFormat="1" applyFont="1" applyBorder="1" applyAlignment="1">
      <alignment horizontal="center"/>
    </xf>
    <xf numFmtId="0" fontId="11" fillId="0" borderId="0" xfId="0" quotePrefix="1" applyFont="1" applyBorder="1" applyAlignment="1">
      <alignment horizontal="center"/>
    </xf>
    <xf numFmtId="0" fontId="3" fillId="7" borderId="0" xfId="0" applyFont="1" applyFill="1"/>
    <xf numFmtId="0" fontId="11" fillId="0" borderId="5" xfId="0" applyFont="1" applyBorder="1"/>
    <xf numFmtId="0" fontId="11" fillId="0" borderId="3" xfId="0" applyFont="1" applyBorder="1"/>
    <xf numFmtId="0" fontId="11" fillId="0" borderId="2" xfId="0" applyFont="1" applyBorder="1"/>
    <xf numFmtId="0" fontId="11" fillId="0" borderId="1" xfId="0" applyFont="1" applyBorder="1"/>
    <xf numFmtId="0" fontId="11" fillId="0" borderId="4" xfId="0" applyFont="1" applyBorder="1"/>
    <xf numFmtId="0" fontId="12" fillId="0" borderId="0" xfId="0" applyFont="1" applyAlignment="1">
      <alignment horizontal="center"/>
    </xf>
    <xf numFmtId="0" fontId="3" fillId="7" borderId="0" xfId="0" applyFont="1" applyFill="1" applyAlignment="1">
      <alignment horizontal="center"/>
    </xf>
    <xf numFmtId="0" fontId="2" fillId="2" borderId="0" xfId="0" applyFont="1" applyFill="1"/>
    <xf numFmtId="0" fontId="2" fillId="8" borderId="0" xfId="0" applyFont="1" applyFill="1" applyBorder="1" applyAlignment="1">
      <alignment horizontal="center"/>
    </xf>
    <xf numFmtId="0" fontId="8" fillId="9" borderId="0" xfId="0" applyFont="1" applyFill="1" applyAlignment="1">
      <alignment horizontal="center"/>
    </xf>
    <xf numFmtId="0" fontId="13" fillId="9" borderId="0" xfId="0" applyFont="1" applyFill="1" applyAlignment="1">
      <alignment horizontal="center"/>
    </xf>
    <xf numFmtId="0" fontId="14" fillId="10" borderId="0" xfId="0" applyFont="1" applyFill="1" applyAlignment="1">
      <alignment horizontal="center"/>
    </xf>
    <xf numFmtId="0" fontId="11" fillId="10" borderId="0" xfId="0" applyFont="1" applyFill="1" applyBorder="1"/>
    <xf numFmtId="0" fontId="0" fillId="0" borderId="0" xfId="0" applyNumberFormat="1" applyBorder="1" applyAlignment="1">
      <alignment horizontal="center"/>
    </xf>
    <xf numFmtId="0" fontId="0" fillId="0" borderId="0" xfId="0" applyNumberFormat="1" applyBorder="1" applyAlignment="1">
      <alignment horizontal="left"/>
    </xf>
    <xf numFmtId="0" fontId="0" fillId="0" borderId="0" xfId="0" applyNumberFormat="1" applyBorder="1"/>
    <xf numFmtId="0" fontId="0" fillId="0" borderId="0" xfId="0" applyNumberFormat="1" applyFill="1" applyBorder="1"/>
    <xf numFmtId="0" fontId="0" fillId="0" borderId="0" xfId="0" quotePrefix="1" applyNumberFormat="1" applyBorder="1"/>
    <xf numFmtId="0" fontId="0" fillId="0" borderId="0" xfId="0" applyNumberFormat="1" applyFill="1" applyBorder="1" applyAlignment="1">
      <alignment horizontal="center"/>
    </xf>
    <xf numFmtId="0" fontId="2" fillId="0" borderId="0" xfId="0" applyNumberFormat="1" applyFont="1" applyFill="1" applyBorder="1" applyAlignment="1" applyProtection="1">
      <alignment horizontal="left"/>
    </xf>
    <xf numFmtId="49" fontId="0" fillId="0" borderId="0" xfId="0" applyNumberFormat="1" applyBorder="1" applyAlignment="1">
      <alignment horizontal="left"/>
    </xf>
    <xf numFmtId="0" fontId="0" fillId="0" borderId="0" xfId="0" quotePrefix="1" applyNumberFormat="1" applyBorder="1" applyAlignment="1">
      <alignment horizontal="left"/>
    </xf>
    <xf numFmtId="0" fontId="2" fillId="0" borderId="0" xfId="0" applyNumberFormat="1" applyFont="1" applyFill="1" applyBorder="1" applyAlignment="1" applyProtection="1">
      <alignment horizontal="left"/>
      <protection hidden="1"/>
    </xf>
    <xf numFmtId="0" fontId="11" fillId="11" borderId="0" xfId="0" applyFont="1" applyFill="1" applyBorder="1" applyProtection="1">
      <protection hidden="1"/>
    </xf>
    <xf numFmtId="0" fontId="11" fillId="11" borderId="0" xfId="0" applyFont="1" applyFill="1" applyBorder="1"/>
    <xf numFmtId="0" fontId="15" fillId="11" borderId="0" xfId="0" applyFont="1" applyFill="1" applyBorder="1" applyProtection="1">
      <protection hidden="1"/>
    </xf>
    <xf numFmtId="0" fontId="16" fillId="11" borderId="0" xfId="0" applyFont="1" applyFill="1" applyBorder="1" applyAlignment="1" applyProtection="1">
      <alignment horizontal="center"/>
      <protection hidden="1"/>
    </xf>
    <xf numFmtId="0" fontId="16" fillId="11" borderId="0" xfId="0" applyFont="1" applyFill="1" applyBorder="1" applyProtection="1">
      <protection hidden="1"/>
    </xf>
    <xf numFmtId="0" fontId="2" fillId="0" borderId="0" xfId="0" applyFont="1" applyProtection="1">
      <protection locked="0"/>
    </xf>
    <xf numFmtId="0" fontId="2" fillId="0" borderId="0" xfId="0" applyFont="1" applyFill="1" applyBorder="1" applyProtection="1">
      <protection locked="0"/>
    </xf>
    <xf numFmtId="0" fontId="2" fillId="0" borderId="0" xfId="0" applyFont="1" applyAlignment="1" applyProtection="1">
      <protection locked="0"/>
    </xf>
    <xf numFmtId="0" fontId="2" fillId="0" borderId="0" xfId="0" applyFont="1" applyAlignment="1">
      <alignment wrapText="1"/>
    </xf>
    <xf numFmtId="0" fontId="2" fillId="0" borderId="0" xfId="0" applyFont="1" applyAlignment="1" applyProtection="1">
      <alignment wrapText="1"/>
      <protection locked="0"/>
    </xf>
    <xf numFmtId="0" fontId="2" fillId="0" borderId="0" xfId="0" applyFont="1" applyAlignment="1" applyProtection="1">
      <alignment vertical="top" wrapText="1"/>
      <protection locked="0"/>
    </xf>
    <xf numFmtId="0" fontId="2" fillId="0" borderId="0" xfId="0" applyFont="1" applyFill="1"/>
    <xf numFmtId="0" fontId="3" fillId="0" borderId="0" xfId="0" applyFont="1" applyProtection="1">
      <protection locked="0"/>
    </xf>
    <xf numFmtId="0" fontId="19" fillId="0" borderId="0" xfId="0" applyFont="1" applyFill="1" applyProtection="1">
      <protection locked="0"/>
    </xf>
    <xf numFmtId="0" fontId="2" fillId="0" borderId="0" xfId="0" applyFont="1" applyFill="1" applyProtection="1">
      <protection locked="0"/>
    </xf>
    <xf numFmtId="0" fontId="17" fillId="0" borderId="0" xfId="0" applyFont="1" applyFill="1" applyProtection="1">
      <protection locked="0"/>
    </xf>
    <xf numFmtId="0" fontId="2" fillId="0" borderId="0" xfId="0" applyFont="1" applyFill="1" applyAlignment="1" applyProtection="1">
      <alignment wrapText="1"/>
      <protection locked="0"/>
    </xf>
    <xf numFmtId="0" fontId="8" fillId="3" borderId="0" xfId="0" applyFont="1" applyFill="1"/>
    <xf numFmtId="14" fontId="0" fillId="0" borderId="0" xfId="0" applyNumberFormat="1" applyBorder="1" applyAlignment="1">
      <alignment horizontal="left"/>
    </xf>
    <xf numFmtId="0" fontId="2" fillId="0" borderId="9" xfId="0" applyFont="1" applyFill="1" applyBorder="1" applyAlignment="1" applyProtection="1">
      <protection hidden="1"/>
    </xf>
    <xf numFmtId="0" fontId="0" fillId="0" borderId="10" xfId="0" applyFill="1" applyBorder="1" applyAlignment="1" applyProtection="1">
      <protection hidden="1"/>
    </xf>
    <xf numFmtId="0" fontId="0" fillId="0" borderId="11" xfId="0" applyFill="1" applyBorder="1" applyAlignment="1" applyProtection="1">
      <protection hidden="1"/>
    </xf>
    <xf numFmtId="0" fontId="0" fillId="0" borderId="10" xfId="0" applyFill="1" applyBorder="1" applyAlignment="1" applyProtection="1">
      <alignment horizontal="left"/>
      <protection hidden="1"/>
    </xf>
    <xf numFmtId="0" fontId="0" fillId="0" borderId="9" xfId="0" applyFill="1" applyBorder="1" applyAlignment="1" applyProtection="1">
      <protection hidden="1"/>
    </xf>
    <xf numFmtId="0" fontId="2" fillId="0" borderId="12" xfId="0" applyFont="1" applyFill="1" applyBorder="1" applyAlignment="1" applyProtection="1">
      <protection hidden="1"/>
    </xf>
    <xf numFmtId="0" fontId="6" fillId="0" borderId="13" xfId="0" applyFont="1" applyFill="1" applyBorder="1" applyAlignment="1" applyProtection="1">
      <alignment horizontal="left" vertical="center"/>
      <protection hidden="1"/>
    </xf>
    <xf numFmtId="0" fontId="6" fillId="0" borderId="14" xfId="0" applyFont="1" applyFill="1" applyBorder="1" applyAlignment="1" applyProtection="1">
      <alignment vertical="center"/>
      <protection hidden="1"/>
    </xf>
    <xf numFmtId="0" fontId="0" fillId="0" borderId="15" xfId="0" applyFill="1" applyBorder="1" applyAlignment="1" applyProtection="1">
      <alignment vertical="center"/>
      <protection hidden="1"/>
    </xf>
    <xf numFmtId="17" fontId="6" fillId="0" borderId="16" xfId="0" applyNumberFormat="1" applyFont="1" applyFill="1" applyBorder="1" applyAlignment="1" applyProtection="1">
      <alignment horizontal="left" vertical="center"/>
      <protection hidden="1"/>
    </xf>
    <xf numFmtId="17" fontId="6" fillId="0" borderId="0" xfId="0" applyNumberFormat="1" applyFont="1" applyFill="1" applyBorder="1" applyAlignment="1" applyProtection="1">
      <alignment horizontal="left" vertical="center"/>
      <protection hidden="1"/>
    </xf>
    <xf numFmtId="17" fontId="6" fillId="0" borderId="17" xfId="0" applyNumberFormat="1" applyFont="1" applyFill="1" applyBorder="1" applyAlignment="1" applyProtection="1">
      <alignment horizontal="left" vertical="center"/>
      <protection hidden="1"/>
    </xf>
    <xf numFmtId="0" fontId="6" fillId="0" borderId="18" xfId="0" applyFont="1" applyFill="1" applyBorder="1" applyAlignment="1" applyProtection="1">
      <alignment vertical="center"/>
      <protection hidden="1"/>
    </xf>
    <xf numFmtId="0" fontId="6" fillId="0" borderId="15" xfId="0"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0" fontId="20" fillId="0" borderId="18" xfId="0" applyFont="1" applyFill="1" applyBorder="1" applyAlignment="1" applyProtection="1">
      <alignment horizontal="left" vertical="center"/>
      <protection hidden="1"/>
    </xf>
    <xf numFmtId="0" fontId="20" fillId="0" borderId="20" xfId="0" applyFont="1" applyFill="1" applyBorder="1" applyAlignment="1" applyProtection="1">
      <alignment horizontal="left" vertical="center"/>
      <protection hidden="1"/>
    </xf>
    <xf numFmtId="0" fontId="6" fillId="0" borderId="15" xfId="0" applyFont="1" applyFill="1" applyBorder="1" applyAlignment="1" applyProtection="1">
      <alignment horizontal="right" vertical="center"/>
      <protection hidden="1"/>
    </xf>
    <xf numFmtId="0" fontId="6" fillId="0" borderId="21" xfId="0" applyNumberFormat="1" applyFont="1" applyFill="1" applyBorder="1" applyAlignment="1" applyProtection="1">
      <alignment horizontal="center" vertical="center"/>
      <protection hidden="1"/>
    </xf>
    <xf numFmtId="0" fontId="6" fillId="0" borderId="19" xfId="0" applyNumberFormat="1"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20" fillId="0" borderId="23" xfId="0" applyFont="1" applyFill="1" applyBorder="1" applyAlignment="1" applyProtection="1">
      <alignment horizontal="left" vertical="center"/>
      <protection hidden="1"/>
    </xf>
    <xf numFmtId="0" fontId="20" fillId="0" borderId="24" xfId="0" applyFont="1" applyFill="1" applyBorder="1" applyAlignment="1" applyProtection="1">
      <alignment horizontal="left" vertical="center"/>
      <protection hidden="1"/>
    </xf>
    <xf numFmtId="0" fontId="6" fillId="0" borderId="25" xfId="0" applyFont="1" applyFill="1" applyBorder="1" applyAlignment="1" applyProtection="1">
      <alignment horizontal="right" vertical="center"/>
      <protection hidden="1"/>
    </xf>
    <xf numFmtId="0" fontId="6" fillId="0" borderId="26"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7" fillId="0" borderId="23" xfId="0" applyNumberFormat="1" applyFont="1" applyFill="1" applyBorder="1" applyAlignment="1" applyProtection="1">
      <alignment horizontal="center" vertical="center"/>
      <protection hidden="1"/>
    </xf>
    <xf numFmtId="0" fontId="6" fillId="0" borderId="27" xfId="0"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6" fillId="0" borderId="20" xfId="0" applyNumberFormat="1" applyFont="1" applyFill="1" applyBorder="1" applyAlignment="1" applyProtection="1">
      <alignment horizontal="center" vertical="center"/>
      <protection hidden="1"/>
    </xf>
    <xf numFmtId="3" fontId="6" fillId="0" borderId="21" xfId="0" applyNumberFormat="1" applyFont="1" applyFill="1" applyBorder="1" applyAlignment="1" applyProtection="1">
      <alignment horizontal="center" vertical="center"/>
      <protection hidden="1"/>
    </xf>
    <xf numFmtId="3" fontId="6" fillId="0" borderId="28" xfId="0" applyNumberFormat="1" applyFont="1" applyFill="1" applyBorder="1" applyAlignment="1" applyProtection="1">
      <alignment horizontal="center" vertical="center"/>
      <protection hidden="1"/>
    </xf>
    <xf numFmtId="1" fontId="6" fillId="0" borderId="15" xfId="0" applyNumberFormat="1" applyFont="1" applyFill="1" applyBorder="1" applyAlignment="1" applyProtection="1">
      <alignment horizontal="center" vertical="center"/>
      <protection hidden="1"/>
    </xf>
    <xf numFmtId="1" fontId="6" fillId="0" borderId="19" xfId="0" applyNumberFormat="1" applyFont="1" applyFill="1" applyBorder="1" applyAlignment="1" applyProtection="1">
      <alignment horizontal="center" vertical="center"/>
      <protection hidden="1"/>
    </xf>
    <xf numFmtId="1" fontId="6" fillId="0" borderId="17" xfId="0" applyNumberFormat="1" applyFont="1" applyFill="1" applyBorder="1" applyAlignment="1" applyProtection="1">
      <alignment horizontal="center" vertical="center"/>
      <protection hidden="1"/>
    </xf>
    <xf numFmtId="0" fontId="6" fillId="0" borderId="29" xfId="0" applyFont="1" applyFill="1" applyBorder="1" applyAlignment="1" applyProtection="1">
      <alignment vertical="center"/>
      <protection hidden="1"/>
    </xf>
    <xf numFmtId="1" fontId="6" fillId="0" borderId="26" xfId="0" applyNumberFormat="1" applyFont="1" applyFill="1" applyBorder="1" applyAlignment="1" applyProtection="1">
      <alignment horizontal="center" vertical="center"/>
      <protection hidden="1"/>
    </xf>
    <xf numFmtId="1" fontId="6" fillId="0" borderId="22" xfId="0" applyNumberFormat="1" applyFont="1" applyFill="1" applyBorder="1" applyAlignment="1" applyProtection="1">
      <alignment horizontal="center" vertical="center"/>
      <protection hidden="1"/>
    </xf>
    <xf numFmtId="1" fontId="6" fillId="0" borderId="30" xfId="0" applyNumberFormat="1" applyFont="1" applyFill="1" applyBorder="1" applyAlignment="1" applyProtection="1">
      <alignment horizontal="center" vertical="center"/>
      <protection hidden="1"/>
    </xf>
    <xf numFmtId="0" fontId="0" fillId="0" borderId="24" xfId="0" applyFill="1" applyBorder="1" applyAlignment="1" applyProtection="1">
      <protection hidden="1"/>
    </xf>
    <xf numFmtId="0" fontId="0" fillId="0" borderId="15" xfId="0" applyFill="1" applyBorder="1" applyAlignment="1" applyProtection="1">
      <protection hidden="1"/>
    </xf>
    <xf numFmtId="0" fontId="6" fillId="0" borderId="31" xfId="0" applyFont="1" applyFill="1" applyBorder="1" applyAlignment="1" applyProtection="1">
      <alignment vertical="center"/>
      <protection hidden="1"/>
    </xf>
    <xf numFmtId="0" fontId="6" fillId="0" borderId="15" xfId="0" applyFont="1" applyFill="1" applyBorder="1" applyAlignment="1" applyProtection="1">
      <alignment horizontal="center" vertical="center"/>
      <protection hidden="1"/>
    </xf>
    <xf numFmtId="0" fontId="11" fillId="0" borderId="0" xfId="0" applyFont="1" applyFill="1" applyProtection="1">
      <protection hidden="1"/>
    </xf>
    <xf numFmtId="0" fontId="0" fillId="0" borderId="9" xfId="0" applyFill="1" applyBorder="1" applyAlignment="1" applyProtection="1">
      <alignment horizontal="left"/>
      <protection hidden="1"/>
    </xf>
    <xf numFmtId="0" fontId="6" fillId="0" borderId="32" xfId="0" applyFont="1" applyFill="1" applyBorder="1" applyAlignment="1" applyProtection="1">
      <protection hidden="1"/>
    </xf>
    <xf numFmtId="0" fontId="6" fillId="0" borderId="33" xfId="0" applyFont="1" applyFill="1" applyBorder="1" applyAlignment="1" applyProtection="1">
      <alignment horizontal="center"/>
      <protection hidden="1"/>
    </xf>
    <xf numFmtId="0" fontId="6" fillId="0" borderId="34" xfId="0" applyFont="1" applyFill="1" applyBorder="1" applyAlignment="1" applyProtection="1">
      <alignment horizontal="center"/>
      <protection hidden="1"/>
    </xf>
    <xf numFmtId="0" fontId="6" fillId="0" borderId="35" xfId="0" applyFont="1" applyFill="1" applyBorder="1" applyProtection="1">
      <protection hidden="1"/>
    </xf>
    <xf numFmtId="0" fontId="6" fillId="0" borderId="36" xfId="0" applyFont="1" applyFill="1" applyBorder="1" applyProtection="1">
      <protection hidden="1"/>
    </xf>
    <xf numFmtId="0" fontId="11" fillId="0" borderId="0" xfId="0" applyFont="1" applyFill="1" applyAlignment="1" applyProtection="1">
      <alignment horizontal="left"/>
      <protection hidden="1"/>
    </xf>
    <xf numFmtId="0" fontId="11" fillId="0" borderId="0" xfId="0" applyFont="1" applyFill="1" applyAlignment="1" applyProtection="1">
      <alignment horizontal="right"/>
      <protection hidden="1"/>
    </xf>
    <xf numFmtId="0" fontId="0" fillId="0" borderId="0" xfId="0" applyFill="1" applyAlignment="1" applyProtection="1">
      <alignment horizontal="left"/>
      <protection hidden="1"/>
    </xf>
    <xf numFmtId="0" fontId="0" fillId="0" borderId="0" xfId="0" applyFill="1" applyProtection="1">
      <protection hidden="1"/>
    </xf>
    <xf numFmtId="0" fontId="0" fillId="0" borderId="0" xfId="0" applyFill="1" applyAlignment="1" applyProtection="1">
      <alignment horizontal="right"/>
      <protection hidden="1"/>
    </xf>
    <xf numFmtId="0" fontId="2" fillId="0" borderId="0" xfId="0" applyFont="1" applyFill="1" applyProtection="1">
      <protection hidden="1"/>
    </xf>
    <xf numFmtId="0" fontId="8" fillId="0" borderId="37" xfId="0" applyFont="1" applyFill="1" applyBorder="1" applyProtection="1"/>
    <xf numFmtId="49" fontId="8" fillId="0" borderId="37" xfId="0" applyNumberFormat="1" applyFont="1" applyBorder="1"/>
    <xf numFmtId="0" fontId="8" fillId="0" borderId="37" xfId="0" applyFont="1" applyBorder="1"/>
    <xf numFmtId="0" fontId="8" fillId="0" borderId="37" xfId="0" applyFont="1" applyBorder="1" applyAlignment="1">
      <alignment horizontal="center"/>
    </xf>
    <xf numFmtId="0" fontId="18" fillId="10" borderId="37" xfId="0" applyFont="1" applyFill="1" applyBorder="1" applyAlignment="1">
      <alignment horizontal="center"/>
    </xf>
    <xf numFmtId="0" fontId="2" fillId="0" borderId="0" xfId="0" applyFont="1" applyFill="1" applyBorder="1" applyAlignment="1" applyProtection="1">
      <alignment wrapText="1"/>
      <protection hidden="1"/>
    </xf>
    <xf numFmtId="0" fontId="6" fillId="0" borderId="28" xfId="0" applyNumberFormat="1" applyFont="1" applyFill="1" applyBorder="1" applyAlignment="1" applyProtection="1">
      <alignment horizontal="left" vertical="center"/>
      <protection hidden="1"/>
    </xf>
    <xf numFmtId="0" fontId="6" fillId="0" borderId="42" xfId="0" applyNumberFormat="1" applyFont="1" applyFill="1" applyBorder="1" applyAlignment="1" applyProtection="1">
      <alignment horizontal="center" vertical="center"/>
      <protection hidden="1"/>
    </xf>
    <xf numFmtId="0" fontId="6" fillId="0" borderId="43" xfId="0" applyNumberFormat="1" applyFont="1" applyFill="1" applyBorder="1" applyAlignment="1" applyProtection="1">
      <alignment horizontal="center" vertical="center"/>
      <protection hidden="1"/>
    </xf>
    <xf numFmtId="0" fontId="6" fillId="0" borderId="44" xfId="0" applyNumberFormat="1" applyFont="1" applyFill="1" applyBorder="1" applyAlignment="1" applyProtection="1">
      <alignment horizontal="center" vertical="center"/>
      <protection hidden="1"/>
    </xf>
    <xf numFmtId="14" fontId="7" fillId="0" borderId="45" xfId="0" applyNumberFormat="1" applyFont="1" applyFill="1" applyBorder="1" applyAlignment="1" applyProtection="1">
      <alignment horizontal="center"/>
      <protection locked="0" hidden="1"/>
    </xf>
    <xf numFmtId="0" fontId="7" fillId="0" borderId="46" xfId="0" applyFont="1" applyFill="1" applyBorder="1" applyProtection="1">
      <protection locked="0" hidden="1"/>
    </xf>
    <xf numFmtId="0" fontId="6" fillId="0" borderId="13" xfId="0" applyFont="1" applyFill="1" applyBorder="1" applyAlignment="1" applyProtection="1">
      <alignment horizontal="center" vertical="center"/>
      <protection hidden="1"/>
    </xf>
    <xf numFmtId="0" fontId="6" fillId="0" borderId="47" xfId="0" applyFont="1" applyFill="1" applyBorder="1" applyAlignment="1" applyProtection="1">
      <alignment horizontal="center" vertical="center"/>
      <protection hidden="1"/>
    </xf>
    <xf numFmtId="0" fontId="6" fillId="0" borderId="48" xfId="0" applyFont="1" applyFill="1" applyBorder="1" applyAlignment="1" applyProtection="1">
      <alignment horizontal="center" vertical="center"/>
      <protection hidden="1"/>
    </xf>
    <xf numFmtId="0" fontId="6" fillId="0" borderId="49" xfId="0" applyFont="1" applyFill="1" applyBorder="1" applyAlignment="1" applyProtection="1">
      <alignment horizontal="center" vertical="center"/>
      <protection hidden="1"/>
    </xf>
    <xf numFmtId="0" fontId="6" fillId="0" borderId="50" xfId="0" applyFont="1" applyFill="1" applyBorder="1" applyAlignment="1" applyProtection="1">
      <alignment horizontal="center" vertical="center"/>
      <protection hidden="1"/>
    </xf>
    <xf numFmtId="0" fontId="6" fillId="0" borderId="51" xfId="0" applyFont="1" applyFill="1" applyBorder="1" applyAlignment="1" applyProtection="1">
      <alignment horizontal="center" vertical="center"/>
      <protection hidden="1"/>
    </xf>
    <xf numFmtId="0" fontId="6" fillId="0" borderId="52" xfId="0" applyFont="1" applyFill="1" applyBorder="1" applyAlignment="1" applyProtection="1">
      <alignment horizontal="center" vertical="center"/>
      <protection hidden="1"/>
    </xf>
    <xf numFmtId="0" fontId="6" fillId="0" borderId="53" xfId="0" applyFont="1" applyFill="1" applyBorder="1" applyAlignment="1" applyProtection="1">
      <alignment horizontal="center" vertical="center"/>
      <protection hidden="1"/>
    </xf>
    <xf numFmtId="0" fontId="6" fillId="0" borderId="54" xfId="0" applyFont="1" applyFill="1" applyBorder="1" applyAlignment="1" applyProtection="1">
      <alignment horizontal="center" vertical="center"/>
      <protection hidden="1"/>
    </xf>
    <xf numFmtId="0" fontId="6" fillId="0" borderId="55" xfId="0" applyFont="1" applyFill="1" applyBorder="1" applyAlignment="1" applyProtection="1">
      <alignment horizontal="center" vertical="center"/>
      <protection hidden="1"/>
    </xf>
    <xf numFmtId="0" fontId="6" fillId="0" borderId="56" xfId="0" applyFont="1" applyFill="1" applyBorder="1" applyAlignment="1" applyProtection="1">
      <alignment horizontal="center" vertical="center"/>
      <protection hidden="1"/>
    </xf>
    <xf numFmtId="0" fontId="11" fillId="0" borderId="0" xfId="0" applyFont="1" applyFill="1" applyAlignment="1" applyProtection="1">
      <alignment horizontal="center"/>
      <protection hidden="1"/>
    </xf>
    <xf numFmtId="0" fontId="0" fillId="0" borderId="0" xfId="0" applyFill="1" applyAlignment="1" applyProtection="1">
      <alignment horizontal="center"/>
      <protection hidden="1"/>
    </xf>
    <xf numFmtId="0" fontId="3" fillId="0" borderId="9" xfId="0" applyFont="1" applyFill="1" applyBorder="1" applyAlignment="1" applyProtection="1">
      <alignment horizontal="center"/>
      <protection hidden="1"/>
    </xf>
    <xf numFmtId="0" fontId="6" fillId="0" borderId="13" xfId="0" quotePrefix="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57" xfId="0" applyFont="1" applyFill="1" applyBorder="1" applyAlignment="1" applyProtection="1">
      <alignment horizontal="center" vertical="center"/>
      <protection hidden="1"/>
    </xf>
    <xf numFmtId="0" fontId="6" fillId="0" borderId="58" xfId="0" applyFont="1" applyFill="1" applyBorder="1" applyAlignment="1" applyProtection="1">
      <alignment horizontal="center" vertical="center"/>
      <protection hidden="1"/>
    </xf>
    <xf numFmtId="0" fontId="6" fillId="0" borderId="59" xfId="0" applyFont="1" applyFill="1" applyBorder="1" applyAlignment="1" applyProtection="1">
      <alignment horizontal="center" vertical="center"/>
      <protection hidden="1"/>
    </xf>
    <xf numFmtId="0" fontId="6" fillId="0" borderId="60" xfId="0" applyFont="1" applyFill="1" applyBorder="1" applyAlignment="1" applyProtection="1">
      <alignment horizontal="center" vertical="center"/>
      <protection hidden="1"/>
    </xf>
    <xf numFmtId="0" fontId="6" fillId="0" borderId="34" xfId="0" applyFont="1" applyFill="1" applyBorder="1" applyAlignment="1" applyProtection="1">
      <alignment horizontal="center" vertical="center"/>
      <protection hidden="1"/>
    </xf>
    <xf numFmtId="0" fontId="6" fillId="0" borderId="18" xfId="0" applyFont="1" applyFill="1" applyBorder="1" applyAlignment="1" applyProtection="1">
      <alignment horizontal="left" vertical="center"/>
      <protection hidden="1"/>
    </xf>
    <xf numFmtId="0" fontId="6" fillId="0" borderId="61" xfId="0" applyFont="1" applyFill="1" applyBorder="1" applyAlignment="1" applyProtection="1">
      <alignment horizontal="left" vertical="center"/>
      <protection hidden="1"/>
    </xf>
    <xf numFmtId="0" fontId="6" fillId="0" borderId="31" xfId="0" applyFont="1" applyFill="1" applyBorder="1" applyAlignment="1" applyProtection="1">
      <alignment horizontal="left" vertical="center"/>
      <protection hidden="1"/>
    </xf>
    <xf numFmtId="0" fontId="6" fillId="0" borderId="29" xfId="0" applyFont="1" applyFill="1" applyBorder="1" applyAlignment="1" applyProtection="1">
      <alignment horizontal="left" vertical="center"/>
      <protection hidden="1"/>
    </xf>
    <xf numFmtId="0" fontId="6" fillId="0" borderId="17" xfId="0" applyNumberFormat="1" applyFont="1" applyFill="1" applyBorder="1" applyAlignment="1" applyProtection="1">
      <alignment horizontal="left" vertical="center"/>
      <protection hidden="1"/>
    </xf>
    <xf numFmtId="0" fontId="6" fillId="0" borderId="62" xfId="0" applyFont="1" applyFill="1" applyBorder="1" applyAlignment="1" applyProtection="1">
      <alignment vertical="center"/>
      <protection hidden="1"/>
    </xf>
    <xf numFmtId="0" fontId="2" fillId="0" borderId="0" xfId="0" applyFont="1" applyAlignment="1"/>
    <xf numFmtId="0" fontId="0" fillId="0" borderId="0" xfId="0" applyFill="1" applyProtection="1">
      <protection locked="0"/>
    </xf>
    <xf numFmtId="0" fontId="0" fillId="0" borderId="0" xfId="0" applyFill="1"/>
    <xf numFmtId="0" fontId="4" fillId="12" borderId="0" xfId="0" applyFont="1" applyFill="1" applyAlignment="1">
      <alignment horizontal="center"/>
    </xf>
    <xf numFmtId="49" fontId="4" fillId="12" borderId="0" xfId="0" applyNumberFormat="1" applyFont="1" applyFill="1" applyAlignment="1">
      <alignment horizontal="center"/>
    </xf>
    <xf numFmtId="3" fontId="10" fillId="0" borderId="37" xfId="0" applyNumberFormat="1" applyFont="1" applyBorder="1" applyAlignment="1" applyProtection="1">
      <alignment horizontal="right"/>
      <protection hidden="1"/>
    </xf>
    <xf numFmtId="0" fontId="5" fillId="0" borderId="0" xfId="0" applyFont="1"/>
    <xf numFmtId="0" fontId="5" fillId="0" borderId="0" xfId="0" applyFont="1" applyAlignment="1">
      <alignment horizontal="center"/>
    </xf>
    <xf numFmtId="0" fontId="5" fillId="0" borderId="37" xfId="0" applyFont="1" applyFill="1" applyBorder="1" applyProtection="1"/>
    <xf numFmtId="49" fontId="5" fillId="0" borderId="37" xfId="0" applyNumberFormat="1" applyFont="1" applyBorder="1"/>
    <xf numFmtId="0" fontId="5" fillId="0" borderId="37" xfId="0" applyFont="1" applyBorder="1"/>
    <xf numFmtId="0" fontId="5" fillId="2" borderId="0" xfId="0" applyFont="1" applyFill="1"/>
    <xf numFmtId="0" fontId="5" fillId="0" borderId="0" xfId="0" applyFont="1" applyFill="1" applyBorder="1" applyProtection="1"/>
    <xf numFmtId="0" fontId="4" fillId="0" borderId="0" xfId="0" applyFont="1"/>
    <xf numFmtId="0" fontId="5" fillId="0" borderId="0" xfId="0" applyFont="1" applyFill="1"/>
    <xf numFmtId="0" fontId="2" fillId="0" borderId="0" xfId="0" applyFont="1" applyAlignment="1">
      <alignment horizontal="center"/>
    </xf>
    <xf numFmtId="0" fontId="2" fillId="0" borderId="37" xfId="0" applyFont="1" applyFill="1" applyBorder="1" applyAlignment="1" applyProtection="1">
      <alignment horizontal="left"/>
    </xf>
    <xf numFmtId="49" fontId="2" fillId="0" borderId="37" xfId="0" applyNumberFormat="1" applyFont="1" applyFill="1" applyBorder="1" applyAlignment="1" applyProtection="1">
      <alignment horizontal="left"/>
    </xf>
    <xf numFmtId="0" fontId="2" fillId="0" borderId="37" xfId="0" applyFont="1" applyBorder="1"/>
    <xf numFmtId="3" fontId="10" fillId="0" borderId="37" xfId="0" applyNumberFormat="1" applyFont="1" applyFill="1" applyBorder="1" applyAlignment="1" applyProtection="1">
      <alignment horizontal="right"/>
      <protection hidden="1"/>
    </xf>
    <xf numFmtId="0" fontId="2" fillId="0" borderId="0" xfId="0" applyNumberFormat="1" applyFont="1"/>
    <xf numFmtId="0" fontId="2" fillId="11" borderId="0" xfId="0" applyFont="1" applyFill="1"/>
    <xf numFmtId="49" fontId="2" fillId="0" borderId="0" xfId="0" applyNumberFormat="1" applyFont="1"/>
    <xf numFmtId="0" fontId="2" fillId="0" borderId="0" xfId="0" applyFont="1" applyAlignment="1">
      <alignment horizontal="left"/>
    </xf>
    <xf numFmtId="0" fontId="2" fillId="3" borderId="0" xfId="0" applyFont="1" applyFill="1" applyAlignment="1">
      <alignment horizontal="left"/>
    </xf>
    <xf numFmtId="0" fontId="2" fillId="0" borderId="0" xfId="0" applyFont="1" applyFill="1" applyAlignment="1">
      <alignment horizontal="center"/>
    </xf>
    <xf numFmtId="0" fontId="2" fillId="7" borderId="0" xfId="0" applyFont="1" applyFill="1" applyAlignment="1">
      <alignment horizontal="center"/>
    </xf>
    <xf numFmtId="0" fontId="2" fillId="3" borderId="0" xfId="0" applyFont="1" applyFill="1"/>
    <xf numFmtId="0" fontId="2" fillId="9" borderId="0" xfId="0" applyFont="1" applyFill="1"/>
    <xf numFmtId="0" fontId="2" fillId="0" borderId="0" xfId="0" applyNumberFormat="1" applyFont="1" applyAlignment="1">
      <alignment horizontal="right"/>
    </xf>
    <xf numFmtId="49" fontId="2" fillId="0" borderId="0" xfId="0" applyNumberFormat="1" applyFont="1" applyBorder="1" applyAlignment="1">
      <alignment horizontal="center"/>
    </xf>
    <xf numFmtId="0" fontId="2" fillId="0" borderId="0" xfId="0" applyFont="1" applyBorder="1"/>
    <xf numFmtId="0" fontId="2" fillId="0" borderId="0" xfId="0" applyFont="1" applyAlignment="1">
      <alignment horizontal="right"/>
    </xf>
    <xf numFmtId="49" fontId="2" fillId="0" borderId="0" xfId="0" applyNumberFormat="1" applyFont="1" applyAlignment="1">
      <alignment horizontal="center"/>
    </xf>
    <xf numFmtId="0" fontId="2" fillId="14" borderId="0" xfId="0" applyFont="1" applyFill="1"/>
    <xf numFmtId="0" fontId="2" fillId="9" borderId="0" xfId="0" applyFont="1" applyFill="1" applyAlignment="1">
      <alignment wrapText="1"/>
    </xf>
    <xf numFmtId="49" fontId="2" fillId="0" borderId="37" xfId="0" applyNumberFormat="1" applyFont="1" applyBorder="1"/>
    <xf numFmtId="0" fontId="2" fillId="0" borderId="0" xfId="0" applyFont="1" applyFill="1" applyBorder="1" applyAlignment="1" applyProtection="1">
      <alignment horizontal="right"/>
    </xf>
    <xf numFmtId="49" fontId="2" fillId="0" borderId="0" xfId="0" applyNumberFormat="1" applyFont="1" applyFill="1" applyBorder="1" applyAlignment="1" applyProtection="1">
      <alignment horizontal="left"/>
    </xf>
    <xf numFmtId="0" fontId="2" fillId="0" borderId="37" xfId="0" applyFont="1" applyFill="1" applyBorder="1" applyProtection="1"/>
    <xf numFmtId="49" fontId="2" fillId="0" borderId="37" xfId="0" applyNumberFormat="1" applyFont="1" applyFill="1" applyBorder="1" applyProtection="1"/>
    <xf numFmtId="0" fontId="2" fillId="0" borderId="0" xfId="0" applyFont="1" applyFill="1" applyBorder="1" applyProtection="1"/>
    <xf numFmtId="0" fontId="2" fillId="0" borderId="37" xfId="0" applyFont="1" applyFill="1" applyBorder="1"/>
    <xf numFmtId="0" fontId="2" fillId="3" borderId="63" xfId="0" applyFont="1" applyFill="1" applyBorder="1"/>
    <xf numFmtId="0" fontId="2" fillId="13" borderId="63" xfId="0" applyNumberFormat="1" applyFont="1" applyFill="1" applyBorder="1" applyAlignment="1">
      <alignment horizontal="center"/>
    </xf>
    <xf numFmtId="0" fontId="2" fillId="10" borderId="63" xfId="0" applyFont="1" applyFill="1" applyBorder="1" applyAlignment="1">
      <alignment horizontal="center"/>
    </xf>
    <xf numFmtId="0" fontId="2" fillId="14" borderId="0" xfId="0" applyFont="1" applyFill="1" applyProtection="1">
      <protection locked="0"/>
    </xf>
    <xf numFmtId="0" fontId="33" fillId="0" borderId="0" xfId="0" applyFont="1" applyFill="1"/>
    <xf numFmtId="0" fontId="7" fillId="0" borderId="66" xfId="0" applyNumberFormat="1" applyFont="1" applyFill="1" applyBorder="1" applyAlignment="1" applyProtection="1">
      <alignment horizontal="center" vertical="center"/>
      <protection hidden="1"/>
    </xf>
    <xf numFmtId="0" fontId="3" fillId="14" borderId="0" xfId="0" applyFont="1" applyFill="1"/>
    <xf numFmtId="0" fontId="5" fillId="14" borderId="0" xfId="0" applyFont="1" applyFill="1"/>
    <xf numFmtId="0" fontId="8" fillId="14" borderId="0" xfId="0" applyFont="1" applyFill="1"/>
    <xf numFmtId="0" fontId="2" fillId="14" borderId="0" xfId="0" applyFont="1" applyFill="1" applyBorder="1" applyAlignment="1" applyProtection="1">
      <alignment vertical="center"/>
      <protection hidden="1"/>
    </xf>
    <xf numFmtId="49" fontId="2" fillId="14" borderId="0" xfId="0" applyNumberFormat="1" applyFont="1" applyFill="1"/>
    <xf numFmtId="0" fontId="4" fillId="15" borderId="0" xfId="0" applyFont="1" applyFill="1" applyAlignment="1">
      <alignment horizontal="center"/>
    </xf>
    <xf numFmtId="0" fontId="4" fillId="0" borderId="0" xfId="0" applyFont="1" applyFill="1" applyAlignment="1">
      <alignment horizontal="center"/>
    </xf>
    <xf numFmtId="49" fontId="4" fillId="0" borderId="0" xfId="0" applyNumberFormat="1" applyFont="1" applyFill="1" applyAlignment="1">
      <alignment horizontal="center"/>
    </xf>
    <xf numFmtId="0" fontId="3" fillId="0" borderId="0" xfId="0" applyFont="1" applyAlignment="1">
      <alignment horizontal="center"/>
    </xf>
    <xf numFmtId="0" fontId="3" fillId="16" borderId="0" xfId="0" applyFont="1" applyFill="1" applyAlignment="1">
      <alignment horizontal="center"/>
    </xf>
    <xf numFmtId="0" fontId="2" fillId="0" borderId="0" xfId="0" applyFont="1" applyFill="1" applyAlignment="1" applyProtection="1">
      <alignment horizontal="center"/>
      <protection locked="0"/>
    </xf>
    <xf numFmtId="0" fontId="0" fillId="0" borderId="0" xfId="0" applyFont="1" applyFill="1"/>
    <xf numFmtId="0" fontId="2" fillId="16" borderId="0" xfId="0" applyFont="1" applyFill="1" applyAlignment="1">
      <alignment wrapText="1"/>
    </xf>
    <xf numFmtId="0" fontId="2" fillId="0" borderId="0" xfId="0" applyFont="1" applyAlignment="1" applyProtection="1">
      <alignment horizontal="center"/>
      <protection locked="0"/>
    </xf>
    <xf numFmtId="0" fontId="2" fillId="0" borderId="0" xfId="0" applyFont="1" applyFill="1" applyAlignment="1">
      <alignment wrapText="1"/>
    </xf>
    <xf numFmtId="49" fontId="2" fillId="0" borderId="67" xfId="0" applyNumberFormat="1" applyFont="1" applyBorder="1" applyAlignment="1">
      <alignment horizontal="center"/>
    </xf>
    <xf numFmtId="49" fontId="2" fillId="0" borderId="67" xfId="0" applyNumberFormat="1" applyFont="1" applyFill="1" applyBorder="1" applyAlignment="1" applyProtection="1">
      <alignment horizontal="center"/>
    </xf>
    <xf numFmtId="0" fontId="0" fillId="0" borderId="5" xfId="0" applyBorder="1"/>
    <xf numFmtId="0" fontId="2" fillId="0" borderId="3" xfId="0" applyFont="1" applyBorder="1"/>
    <xf numFmtId="0" fontId="2" fillId="0" borderId="2" xfId="0" applyFont="1" applyBorder="1"/>
    <xf numFmtId="0" fontId="2" fillId="0" borderId="4" xfId="0" applyFont="1" applyBorder="1"/>
    <xf numFmtId="0" fontId="6" fillId="0" borderId="23" xfId="0" applyFont="1" applyFill="1" applyBorder="1" applyAlignment="1" applyProtection="1">
      <alignment vertical="center"/>
      <protection hidden="1"/>
    </xf>
    <xf numFmtId="0" fontId="34" fillId="0" borderId="0" xfId="0" applyFont="1" applyFill="1" applyBorder="1" applyAlignment="1" applyProtection="1">
      <alignment horizontal="centerContinuous" vertical="center"/>
      <protection hidden="1"/>
    </xf>
    <xf numFmtId="0" fontId="35" fillId="0" borderId="9" xfId="0" applyFont="1" applyFill="1" applyBorder="1" applyAlignment="1" applyProtection="1">
      <protection hidden="1"/>
    </xf>
    <xf numFmtId="0" fontId="35" fillId="0" borderId="0" xfId="0" applyFont="1" applyFill="1" applyBorder="1" applyAlignment="1" applyProtection="1">
      <alignment vertical="center"/>
      <protection hidden="1"/>
    </xf>
    <xf numFmtId="49" fontId="36" fillId="0" borderId="0" xfId="0" applyNumberFormat="1" applyFont="1" applyFill="1" applyBorder="1" applyAlignment="1" applyProtection="1">
      <alignment vertical="center"/>
      <protection hidden="1"/>
    </xf>
    <xf numFmtId="49" fontId="36" fillId="0" borderId="0" xfId="0" applyNumberFormat="1" applyFont="1" applyFill="1" applyBorder="1" applyAlignment="1" applyProtection="1">
      <alignment horizontal="center" vertical="center"/>
      <protection hidden="1"/>
    </xf>
    <xf numFmtId="17" fontId="37" fillId="0" borderId="0" xfId="0" applyNumberFormat="1" applyFont="1" applyFill="1" applyBorder="1" applyAlignment="1" applyProtection="1">
      <alignment horizontal="left" vertical="center"/>
      <protection hidden="1"/>
    </xf>
    <xf numFmtId="49" fontId="38" fillId="0" borderId="0" xfId="0" applyNumberFormat="1" applyFont="1" applyFill="1" applyBorder="1" applyAlignment="1" applyProtection="1">
      <alignment vertical="center"/>
      <protection hidden="1"/>
    </xf>
    <xf numFmtId="0" fontId="35" fillId="0" borderId="9" xfId="0" quotePrefix="1" applyFont="1" applyFill="1" applyBorder="1" applyAlignment="1" applyProtection="1">
      <protection hidden="1"/>
    </xf>
    <xf numFmtId="0" fontId="35" fillId="0" borderId="68" xfId="0" applyFont="1" applyFill="1" applyBorder="1" applyAlignment="1" applyProtection="1">
      <protection hidden="1"/>
    </xf>
    <xf numFmtId="49" fontId="36" fillId="0" borderId="56" xfId="0" applyNumberFormat="1" applyFont="1" applyFill="1" applyBorder="1" applyAlignment="1" applyProtection="1">
      <alignment vertical="center"/>
      <protection hidden="1"/>
    </xf>
    <xf numFmtId="0" fontId="35" fillId="0" borderId="0" xfId="0" applyFont="1" applyFill="1" applyBorder="1" applyAlignment="1" applyProtection="1">
      <alignment vertical="top"/>
      <protection hidden="1"/>
    </xf>
    <xf numFmtId="0" fontId="39" fillId="0" borderId="0" xfId="0" applyFont="1" applyFill="1" applyProtection="1">
      <protection hidden="1"/>
    </xf>
    <xf numFmtId="0" fontId="38"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horizontal="right"/>
      <protection hidden="1"/>
    </xf>
    <xf numFmtId="0" fontId="2" fillId="14" borderId="0" xfId="0" applyFont="1" applyFill="1" applyBorder="1" applyProtection="1">
      <protection locked="0"/>
    </xf>
    <xf numFmtId="0" fontId="6" fillId="0" borderId="69" xfId="0" applyFont="1" applyFill="1" applyBorder="1" applyAlignment="1" applyProtection="1">
      <alignment horizontal="left" vertical="center"/>
      <protection hidden="1"/>
    </xf>
    <xf numFmtId="0" fontId="6" fillId="0" borderId="70" xfId="0" applyFont="1" applyFill="1" applyBorder="1" applyAlignment="1" applyProtection="1">
      <alignment horizontal="right" vertical="center"/>
      <protection hidden="1"/>
    </xf>
    <xf numFmtId="0" fontId="6" fillId="0" borderId="71" xfId="0" applyNumberFormat="1" applyFont="1" applyFill="1" applyBorder="1" applyAlignment="1" applyProtection="1">
      <alignment horizontal="left" vertical="center"/>
      <protection hidden="1"/>
    </xf>
    <xf numFmtId="0" fontId="6" fillId="0" borderId="72" xfId="0" applyNumberFormat="1" applyFont="1" applyFill="1" applyBorder="1" applyAlignment="1" applyProtection="1">
      <alignment horizontal="left" vertical="center"/>
      <protection hidden="1"/>
    </xf>
    <xf numFmtId="0" fontId="6" fillId="0" borderId="73" xfId="0" applyNumberFormat="1" applyFont="1" applyFill="1" applyBorder="1" applyAlignment="1" applyProtection="1">
      <alignment horizontal="left" vertical="center"/>
      <protection hidden="1"/>
    </xf>
    <xf numFmtId="0" fontId="20" fillId="0" borderId="18" xfId="0" applyFont="1" applyFill="1" applyBorder="1" applyAlignment="1" applyProtection="1">
      <alignment vertical="center"/>
      <protection hidden="1"/>
    </xf>
    <xf numFmtId="0" fontId="4" fillId="0" borderId="27" xfId="0" applyFont="1" applyFill="1" applyBorder="1" applyAlignment="1" applyProtection="1">
      <alignment vertical="center"/>
      <protection hidden="1"/>
    </xf>
    <xf numFmtId="1" fontId="6" fillId="0" borderId="74" xfId="0" applyNumberFormat="1" applyFont="1" applyFill="1" applyBorder="1" applyAlignment="1" applyProtection="1">
      <alignment horizontal="center" vertical="center"/>
      <protection hidden="1"/>
    </xf>
    <xf numFmtId="0" fontId="11" fillId="0" borderId="0" xfId="0" applyFont="1" applyFill="1" applyBorder="1"/>
    <xf numFmtId="0" fontId="2" fillId="17" borderId="0" xfId="0" applyFont="1" applyFill="1"/>
    <xf numFmtId="0" fontId="2" fillId="18" borderId="0" xfId="0" applyFont="1" applyFill="1"/>
    <xf numFmtId="0" fontId="8" fillId="0" borderId="0" xfId="0" applyFont="1" applyFill="1"/>
    <xf numFmtId="0" fontId="2" fillId="0" borderId="0" xfId="0" applyFont="1" applyAlignment="1">
      <alignment horizontal="left" vertical="center" wrapText="1"/>
    </xf>
    <xf numFmtId="0" fontId="2" fillId="16" borderId="0" xfId="0" applyFont="1" applyFill="1" applyAlignment="1">
      <alignment vertical="center" wrapText="1"/>
    </xf>
    <xf numFmtId="0" fontId="1" fillId="0" borderId="0" xfId="0" applyFont="1" applyFill="1"/>
    <xf numFmtId="0" fontId="3" fillId="0" borderId="10" xfId="0" applyFont="1" applyFill="1" applyBorder="1" applyAlignment="1" applyProtection="1">
      <alignment horizontal="center"/>
      <protection hidden="1"/>
    </xf>
    <xf numFmtId="0" fontId="1" fillId="19" borderId="0" xfId="0" applyFont="1" applyFill="1" applyAlignment="1">
      <alignment horizontal="center"/>
    </xf>
    <xf numFmtId="0" fontId="1" fillId="20" borderId="0" xfId="0" applyFont="1" applyFill="1" applyAlignment="1">
      <alignment horizontal="center"/>
    </xf>
    <xf numFmtId="0" fontId="2" fillId="21" borderId="0" xfId="0" applyFont="1" applyFill="1"/>
    <xf numFmtId="0" fontId="1" fillId="22" borderId="0" xfId="0" applyFont="1" applyFill="1"/>
    <xf numFmtId="0" fontId="2" fillId="22" borderId="0" xfId="0" applyFont="1" applyFill="1"/>
    <xf numFmtId="0" fontId="8" fillId="16" borderId="0" xfId="0" applyFont="1" applyFill="1" applyBorder="1" applyProtection="1"/>
    <xf numFmtId="0" fontId="2" fillId="11" borderId="76" xfId="0" applyFont="1" applyFill="1" applyBorder="1"/>
    <xf numFmtId="0" fontId="2" fillId="11" borderId="77" xfId="0" applyFont="1" applyFill="1" applyBorder="1"/>
    <xf numFmtId="0" fontId="2" fillId="23" borderId="77" xfId="0" applyFont="1" applyFill="1" applyBorder="1"/>
    <xf numFmtId="0" fontId="2" fillId="23" borderId="63" xfId="0" applyFont="1" applyFill="1" applyBorder="1"/>
    <xf numFmtId="0" fontId="5" fillId="16" borderId="0" xfId="0" applyFont="1" applyFill="1"/>
    <xf numFmtId="0" fontId="36" fillId="0" borderId="0" xfId="0" applyNumberFormat="1" applyFont="1" applyFill="1" applyBorder="1" applyAlignment="1" applyProtection="1">
      <alignment vertical="center"/>
      <protection hidden="1"/>
    </xf>
    <xf numFmtId="0" fontId="19" fillId="0" borderId="0" xfId="1" applyFont="1" applyFill="1" applyProtection="1">
      <protection locked="0"/>
    </xf>
    <xf numFmtId="0" fontId="2" fillId="0" borderId="0" xfId="1" applyFont="1" applyFill="1" applyProtection="1">
      <protection locked="0"/>
    </xf>
    <xf numFmtId="0" fontId="2" fillId="0" borderId="0" xfId="1" applyFill="1" applyProtection="1">
      <protection locked="0"/>
    </xf>
    <xf numFmtId="0" fontId="2" fillId="14" borderId="0" xfId="1" applyFont="1" applyFill="1" applyProtection="1">
      <protection locked="0"/>
    </xf>
    <xf numFmtId="0" fontId="2" fillId="0" borderId="0" xfId="1" applyFont="1" applyFill="1" applyAlignment="1" applyProtection="1">
      <alignment horizontal="left"/>
    </xf>
    <xf numFmtId="0" fontId="17" fillId="0" borderId="0" xfId="1" applyFont="1" applyFill="1" applyProtection="1">
      <protection locked="0"/>
    </xf>
    <xf numFmtId="0" fontId="2" fillId="0" borderId="0" xfId="1" applyFill="1"/>
    <xf numFmtId="0" fontId="2" fillId="0" borderId="0" xfId="1" applyFont="1" applyFill="1"/>
    <xf numFmtId="0" fontId="2" fillId="24" borderId="0" xfId="1" applyFont="1" applyFill="1"/>
    <xf numFmtId="0" fontId="2" fillId="24" borderId="0" xfId="1" applyFont="1" applyFill="1" applyProtection="1">
      <protection locked="0"/>
    </xf>
    <xf numFmtId="0" fontId="17" fillId="24" borderId="0" xfId="1" applyFont="1" applyFill="1" applyProtection="1">
      <protection locked="0"/>
    </xf>
    <xf numFmtId="0" fontId="2" fillId="12" borderId="0" xfId="1" applyFill="1" applyProtection="1">
      <protection locked="0"/>
    </xf>
    <xf numFmtId="0" fontId="22" fillId="0" borderId="0" xfId="0" applyFont="1" applyFill="1" applyProtection="1">
      <protection locked="0"/>
    </xf>
    <xf numFmtId="0" fontId="2" fillId="14" borderId="0" xfId="1" applyFill="1" applyProtection="1">
      <protection locked="0"/>
    </xf>
    <xf numFmtId="0" fontId="2" fillId="0" borderId="0" xfId="1" applyFont="1" applyProtection="1">
      <protection locked="0"/>
    </xf>
    <xf numFmtId="0" fontId="2" fillId="0" borderId="0" xfId="1"/>
    <xf numFmtId="0" fontId="2" fillId="14" borderId="0" xfId="1" applyFill="1"/>
    <xf numFmtId="0" fontId="17" fillId="14" borderId="0" xfId="1" applyFont="1" applyFill="1" applyProtection="1">
      <protection locked="0"/>
    </xf>
    <xf numFmtId="0" fontId="2" fillId="0" borderId="0" xfId="1" applyFill="1" applyAlignment="1" applyProtection="1">
      <alignment wrapText="1"/>
      <protection locked="0"/>
    </xf>
    <xf numFmtId="0" fontId="2" fillId="0" borderId="0" xfId="1" applyFont="1" applyFill="1" applyAlignment="1" applyProtection="1">
      <alignment vertical="top" wrapText="1"/>
      <protection locked="0"/>
    </xf>
    <xf numFmtId="0" fontId="2" fillId="0" borderId="0" xfId="1" applyFont="1" applyFill="1" applyAlignment="1" applyProtection="1">
      <alignment wrapText="1"/>
      <protection locked="0"/>
    </xf>
    <xf numFmtId="0" fontId="2" fillId="0" borderId="0" xfId="1" applyAlignment="1">
      <alignment wrapText="1"/>
    </xf>
    <xf numFmtId="0" fontId="2" fillId="12" borderId="0" xfId="1" applyFill="1" applyAlignment="1">
      <alignment wrapText="1"/>
    </xf>
    <xf numFmtId="0" fontId="2" fillId="0" borderId="0" xfId="1" applyFill="1" applyAlignment="1">
      <alignment wrapText="1"/>
    </xf>
    <xf numFmtId="0" fontId="2" fillId="4" borderId="0" xfId="1" applyFill="1"/>
    <xf numFmtId="0" fontId="2" fillId="0" borderId="0" xfId="1" applyFont="1"/>
    <xf numFmtId="0" fontId="4" fillId="0" borderId="0" xfId="1" applyFont="1" applyAlignment="1">
      <alignment horizontal="center"/>
    </xf>
    <xf numFmtId="0" fontId="4" fillId="14" borderId="0" xfId="1" applyFont="1" applyFill="1" applyAlignment="1">
      <alignment horizontal="center"/>
    </xf>
    <xf numFmtId="0" fontId="4" fillId="0" borderId="0" xfId="1" applyFont="1" applyFill="1" applyAlignment="1">
      <alignment horizontal="center"/>
    </xf>
    <xf numFmtId="49" fontId="4" fillId="0" borderId="0" xfId="1" applyNumberFormat="1" applyFont="1" applyAlignment="1">
      <alignment horizontal="center"/>
    </xf>
    <xf numFmtId="0" fontId="2" fillId="0" borderId="0" xfId="1" applyFont="1" applyFill="1" applyAlignment="1" applyProtection="1">
      <alignment horizontal="center"/>
      <protection locked="0"/>
    </xf>
    <xf numFmtId="0" fontId="17" fillId="14" borderId="0" xfId="1" applyFont="1" applyFill="1" applyAlignment="1" applyProtection="1">
      <alignment horizontal="center"/>
      <protection locked="0"/>
    </xf>
    <xf numFmtId="0" fontId="2" fillId="24" borderId="0" xfId="1" applyFill="1"/>
    <xf numFmtId="0" fontId="26" fillId="0" borderId="0" xfId="2" applyFont="1"/>
    <xf numFmtId="0" fontId="27" fillId="0" borderId="0" xfId="2" applyFont="1"/>
    <xf numFmtId="0" fontId="28" fillId="0" borderId="0" xfId="2" applyFont="1"/>
    <xf numFmtId="0" fontId="22" fillId="0" borderId="0" xfId="2" applyFont="1"/>
    <xf numFmtId="0" fontId="32" fillId="0" borderId="0" xfId="2"/>
    <xf numFmtId="0" fontId="22" fillId="0" borderId="0" xfId="2" applyFont="1" applyAlignment="1">
      <alignment wrapText="1"/>
    </xf>
    <xf numFmtId="0" fontId="22" fillId="0" borderId="0" xfId="2" applyFont="1" applyAlignment="1">
      <alignment vertical="top" wrapText="1"/>
    </xf>
    <xf numFmtId="0" fontId="32" fillId="0" borderId="0" xfId="2" applyAlignment="1">
      <alignment vertical="top" wrapText="1"/>
    </xf>
    <xf numFmtId="0" fontId="32" fillId="0" borderId="0" xfId="2" applyAlignment="1">
      <alignment wrapText="1"/>
    </xf>
    <xf numFmtId="0" fontId="30" fillId="0" borderId="0" xfId="2" applyFont="1" applyAlignment="1">
      <alignment vertical="top" wrapText="1"/>
    </xf>
    <xf numFmtId="0" fontId="32" fillId="0" borderId="0" xfId="2" applyAlignment="1">
      <alignment vertical="top"/>
    </xf>
    <xf numFmtId="0" fontId="30" fillId="0" borderId="0" xfId="2" applyFont="1" applyAlignment="1">
      <alignment wrapText="1"/>
    </xf>
    <xf numFmtId="0" fontId="26" fillId="0" borderId="0" xfId="2" applyFont="1" applyAlignment="1">
      <alignment wrapText="1"/>
    </xf>
    <xf numFmtId="0" fontId="27" fillId="0" borderId="0" xfId="2" applyFont="1" applyAlignment="1">
      <alignment wrapText="1"/>
    </xf>
    <xf numFmtId="0" fontId="28" fillId="0" borderId="0" xfId="2" applyFont="1" applyAlignment="1">
      <alignment wrapText="1"/>
    </xf>
    <xf numFmtId="0" fontId="29" fillId="0" borderId="0" xfId="2" applyFont="1" applyAlignment="1">
      <alignment wrapText="1"/>
    </xf>
    <xf numFmtId="0" fontId="31" fillId="0" borderId="0" xfId="2" applyFont="1" applyAlignment="1">
      <alignment wrapText="1"/>
    </xf>
    <xf numFmtId="0" fontId="2" fillId="25" borderId="0" xfId="1" applyFont="1" applyFill="1" applyProtection="1">
      <protection locked="0"/>
    </xf>
    <xf numFmtId="0" fontId="41" fillId="3" borderId="0" xfId="0" applyFont="1" applyFill="1" applyAlignment="1" applyProtection="1">
      <alignment vertical="center"/>
      <protection hidden="1"/>
    </xf>
    <xf numFmtId="0" fontId="41" fillId="3" borderId="0" xfId="0" applyFont="1" applyFill="1" applyBorder="1" applyAlignment="1" applyProtection="1">
      <alignment vertical="center"/>
      <protection hidden="1"/>
    </xf>
    <xf numFmtId="0" fontId="41" fillId="3" borderId="0" xfId="0" applyFont="1" applyFill="1" applyAlignment="1" applyProtection="1">
      <alignment horizontal="left" vertical="center"/>
      <protection hidden="1"/>
    </xf>
    <xf numFmtId="0" fontId="41" fillId="0" borderId="0" xfId="0" applyFont="1" applyAlignment="1" applyProtection="1">
      <alignment vertical="center"/>
      <protection hidden="1"/>
    </xf>
    <xf numFmtId="0" fontId="41" fillId="0" borderId="0" xfId="0" applyFont="1" applyBorder="1" applyAlignment="1" applyProtection="1">
      <alignment vertical="center"/>
      <protection hidden="1"/>
    </xf>
    <xf numFmtId="0" fontId="41" fillId="0" borderId="0" xfId="0" applyFont="1" applyFill="1" applyAlignment="1" applyProtection="1">
      <alignment vertical="center"/>
      <protection hidden="1"/>
    </xf>
    <xf numFmtId="0" fontId="41" fillId="0" borderId="0" xfId="0" applyFont="1" applyFill="1" applyBorder="1" applyAlignment="1" applyProtection="1">
      <alignment vertical="center"/>
      <protection hidden="1"/>
    </xf>
    <xf numFmtId="0" fontId="44" fillId="3" borderId="0" xfId="0" applyFont="1" applyFill="1" applyBorder="1" applyAlignment="1" applyProtection="1">
      <alignment vertical="center"/>
      <protection hidden="1"/>
    </xf>
    <xf numFmtId="0" fontId="44" fillId="3"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45" fillId="0" borderId="0" xfId="0" applyFont="1" applyFill="1" applyBorder="1" applyAlignment="1" applyProtection="1">
      <alignment vertical="center"/>
      <protection hidden="1"/>
    </xf>
    <xf numFmtId="0" fontId="43" fillId="3" borderId="0" xfId="0" applyFont="1" applyFill="1" applyAlignment="1" applyProtection="1">
      <alignment vertical="center"/>
      <protection hidden="1"/>
    </xf>
    <xf numFmtId="0" fontId="43" fillId="0" borderId="0" xfId="0" applyFont="1" applyAlignment="1" applyProtection="1">
      <alignment vertical="center"/>
      <protection hidden="1"/>
    </xf>
    <xf numFmtId="0" fontId="2" fillId="26" borderId="0" xfId="0" applyFont="1" applyFill="1" applyBorder="1" applyProtection="1">
      <protection hidden="1"/>
    </xf>
    <xf numFmtId="0" fontId="41" fillId="0" borderId="0" xfId="0" applyFont="1" applyAlignment="1" applyProtection="1">
      <alignment horizontal="left" vertical="center"/>
      <protection hidden="1"/>
    </xf>
    <xf numFmtId="0" fontId="41" fillId="0" borderId="0" xfId="0" applyFont="1" applyBorder="1" applyAlignment="1" applyProtection="1">
      <alignment horizontal="left" vertical="center"/>
      <protection hidden="1"/>
    </xf>
    <xf numFmtId="0" fontId="45" fillId="0" borderId="0" xfId="0" applyFont="1" applyAlignment="1" applyProtection="1">
      <alignment vertical="center"/>
      <protection hidden="1"/>
    </xf>
    <xf numFmtId="0" fontId="41" fillId="3" borderId="0" xfId="0" applyFont="1" applyFill="1" applyAlignment="1" applyProtection="1">
      <protection hidden="1"/>
    </xf>
    <xf numFmtId="0" fontId="41" fillId="0" borderId="0" xfId="0" applyFont="1" applyAlignment="1" applyProtection="1">
      <protection hidden="1"/>
    </xf>
    <xf numFmtId="0" fontId="42" fillId="3" borderId="0" xfId="0" applyFont="1" applyFill="1" applyBorder="1" applyAlignment="1" applyProtection="1">
      <alignment vertical="center"/>
      <protection hidden="1"/>
    </xf>
    <xf numFmtId="0" fontId="42" fillId="0" borderId="0" xfId="0" applyFont="1" applyAlignment="1" applyProtection="1">
      <alignment vertical="center"/>
      <protection hidden="1"/>
    </xf>
    <xf numFmtId="0" fontId="42" fillId="0" borderId="0" xfId="0" applyFont="1" applyFill="1" applyBorder="1" applyAlignment="1" applyProtection="1">
      <alignment vertical="center"/>
      <protection hidden="1"/>
    </xf>
    <xf numFmtId="0" fontId="42" fillId="3"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0" borderId="0" xfId="0" applyFont="1" applyAlignment="1" applyProtection="1">
      <alignment horizontal="right" vertical="center"/>
      <protection hidden="1"/>
    </xf>
    <xf numFmtId="0" fontId="41" fillId="0" borderId="0" xfId="0" applyNumberFormat="1" applyFont="1" applyBorder="1" applyAlignment="1" applyProtection="1">
      <alignment vertical="center"/>
      <protection hidden="1"/>
    </xf>
    <xf numFmtId="0" fontId="28" fillId="0" borderId="0" xfId="0" applyFont="1"/>
    <xf numFmtId="0" fontId="41" fillId="0" borderId="0" xfId="0" applyFont="1" applyAlignment="1" applyProtection="1">
      <alignment horizontal="left" vertical="center"/>
      <protection hidden="1"/>
    </xf>
    <xf numFmtId="0" fontId="42" fillId="0" borderId="0" xfId="0" applyFont="1" applyAlignment="1" applyProtection="1">
      <alignment horizontal="left" vertical="center"/>
      <protection hidden="1"/>
    </xf>
    <xf numFmtId="0" fontId="48" fillId="0" borderId="78" xfId="0" applyFont="1" applyBorder="1" applyAlignment="1" applyProtection="1">
      <alignment horizontal="center" vertical="center"/>
      <protection hidden="1"/>
    </xf>
    <xf numFmtId="0" fontId="48" fillId="0" borderId="80" xfId="0" applyFont="1" applyBorder="1" applyAlignment="1" applyProtection="1">
      <alignment horizontal="left" vertical="center"/>
      <protection hidden="1"/>
    </xf>
    <xf numFmtId="0" fontId="48" fillId="0" borderId="79" xfId="0" applyFont="1" applyBorder="1" applyAlignment="1" applyProtection="1">
      <alignment horizontal="center" vertical="center"/>
      <protection hidden="1"/>
    </xf>
    <xf numFmtId="0" fontId="49" fillId="0" borderId="0" xfId="0" applyFont="1" applyAlignment="1" applyProtection="1">
      <alignment vertical="center"/>
      <protection hidden="1"/>
    </xf>
    <xf numFmtId="0" fontId="43" fillId="0" borderId="39" xfId="0" applyFont="1" applyBorder="1" applyAlignment="1" applyProtection="1">
      <alignment vertical="center"/>
      <protection hidden="1"/>
    </xf>
    <xf numFmtId="0" fontId="43" fillId="0" borderId="40" xfId="0" applyFont="1" applyBorder="1" applyAlignment="1" applyProtection="1">
      <alignment vertical="center"/>
      <protection hidden="1"/>
    </xf>
    <xf numFmtId="0" fontId="43" fillId="0" borderId="41" xfId="0" applyFont="1" applyBorder="1" applyAlignment="1" applyProtection="1">
      <alignment vertical="center"/>
      <protection hidden="1"/>
    </xf>
    <xf numFmtId="0" fontId="43" fillId="0" borderId="59" xfId="0" applyFont="1" applyFill="1" applyBorder="1" applyAlignment="1" applyProtection="1">
      <alignment vertical="center"/>
      <protection hidden="1"/>
    </xf>
    <xf numFmtId="0" fontId="43" fillId="0" borderId="63" xfId="0" applyFont="1" applyFill="1" applyBorder="1" applyAlignment="1" applyProtection="1">
      <alignment vertical="center"/>
      <protection hidden="1"/>
    </xf>
    <xf numFmtId="0" fontId="43" fillId="0" borderId="8" xfId="0" applyFont="1" applyFill="1" applyBorder="1" applyAlignment="1" applyProtection="1">
      <alignment vertical="center"/>
      <protection hidden="1"/>
    </xf>
    <xf numFmtId="0" fontId="43" fillId="0" borderId="0" xfId="0" applyFont="1" applyBorder="1" applyAlignment="1" applyProtection="1">
      <alignment horizontal="center" vertical="center"/>
      <protection hidden="1"/>
    </xf>
    <xf numFmtId="0" fontId="43" fillId="0" borderId="34" xfId="0" applyFont="1" applyBorder="1" applyAlignment="1" applyProtection="1">
      <alignment vertical="center"/>
      <protection hidden="1"/>
    </xf>
    <xf numFmtId="0" fontId="43" fillId="0" borderId="37" xfId="0" applyFont="1" applyBorder="1" applyAlignment="1" applyProtection="1">
      <alignment vertical="center"/>
      <protection hidden="1"/>
    </xf>
    <xf numFmtId="0" fontId="43" fillId="0" borderId="38" xfId="0" applyFont="1" applyBorder="1" applyAlignment="1" applyProtection="1">
      <alignment vertical="center"/>
      <protection hidden="1"/>
    </xf>
    <xf numFmtId="0" fontId="43" fillId="0" borderId="34" xfId="0" applyFont="1" applyFill="1" applyBorder="1" applyAlignment="1" applyProtection="1">
      <alignment vertical="center"/>
      <protection hidden="1"/>
    </xf>
    <xf numFmtId="0" fontId="43" fillId="0" borderId="37" xfId="0" applyFont="1" applyFill="1" applyBorder="1" applyAlignment="1" applyProtection="1">
      <alignment vertical="center"/>
      <protection hidden="1"/>
    </xf>
    <xf numFmtId="0" fontId="43" fillId="0" borderId="38" xfId="0" applyFont="1" applyFill="1" applyBorder="1" applyAlignment="1" applyProtection="1">
      <alignment vertical="center"/>
      <protection hidden="1"/>
    </xf>
    <xf numFmtId="0" fontId="43" fillId="0" borderId="81" xfId="0" applyFont="1" applyFill="1" applyBorder="1" applyAlignment="1" applyProtection="1">
      <alignment vertical="center"/>
      <protection hidden="1"/>
    </xf>
    <xf numFmtId="0" fontId="43" fillId="0" borderId="76" xfId="0" applyFont="1" applyFill="1" applyBorder="1" applyAlignment="1" applyProtection="1">
      <alignment vertical="center"/>
      <protection hidden="1"/>
    </xf>
    <xf numFmtId="0" fontId="43" fillId="0" borderId="6" xfId="0" applyFont="1" applyFill="1" applyBorder="1" applyAlignment="1" applyProtection="1">
      <alignment vertical="center"/>
      <protection hidden="1"/>
    </xf>
    <xf numFmtId="0" fontId="43" fillId="0" borderId="35" xfId="0" applyFont="1" applyFill="1" applyBorder="1" applyAlignment="1" applyProtection="1">
      <alignment vertical="center"/>
      <protection hidden="1"/>
    </xf>
    <xf numFmtId="0" fontId="43" fillId="0" borderId="64" xfId="0" applyFont="1" applyFill="1" applyBorder="1" applyAlignment="1" applyProtection="1">
      <alignment vertical="center"/>
      <protection hidden="1"/>
    </xf>
    <xf numFmtId="0" fontId="43" fillId="0" borderId="65" xfId="0" applyFont="1" applyFill="1" applyBorder="1" applyAlignment="1" applyProtection="1">
      <alignment vertical="center"/>
      <protection hidden="1"/>
    </xf>
    <xf numFmtId="0" fontId="50" fillId="0" borderId="0" xfId="0" applyFont="1" applyAlignment="1" applyProtection="1">
      <alignment vertical="center"/>
      <protection hidden="1"/>
    </xf>
    <xf numFmtId="0" fontId="50" fillId="0" borderId="0" xfId="0" applyFont="1" applyBorder="1" applyAlignment="1" applyProtection="1">
      <alignment vertical="center"/>
      <protection hidden="1"/>
    </xf>
    <xf numFmtId="0" fontId="53"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53" fillId="0" borderId="0" xfId="0" applyFont="1" applyAlignment="1" applyProtection="1">
      <alignment horizontal="center" vertical="center"/>
      <protection hidden="1"/>
    </xf>
    <xf numFmtId="0" fontId="53" fillId="0" borderId="0" xfId="0" applyFont="1" applyAlignment="1" applyProtection="1">
      <alignment horizontal="right"/>
      <protection hidden="1"/>
    </xf>
    <xf numFmtId="0" fontId="53" fillId="0" borderId="0" xfId="0" applyFont="1" applyBorder="1" applyAlignment="1" applyProtection="1">
      <alignment horizontal="left" vertical="center"/>
      <protection hidden="1"/>
    </xf>
    <xf numFmtId="0" fontId="53" fillId="0" borderId="0" xfId="0" applyFont="1" applyBorder="1" applyAlignment="1" applyProtection="1">
      <alignment vertical="center"/>
      <protection hidden="1"/>
    </xf>
    <xf numFmtId="0" fontId="53" fillId="0" borderId="6"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53" fillId="0" borderId="5" xfId="0" applyFont="1" applyBorder="1" applyAlignment="1" applyProtection="1">
      <alignment vertical="center"/>
      <protection hidden="1"/>
    </xf>
    <xf numFmtId="0" fontId="53" fillId="0" borderId="3" xfId="0" applyFont="1" applyBorder="1" applyAlignment="1" applyProtection="1">
      <alignment vertical="center"/>
      <protection hidden="1"/>
    </xf>
    <xf numFmtId="0" fontId="53" fillId="0" borderId="7" xfId="0" applyFont="1" applyFill="1" applyBorder="1" applyAlignment="1" applyProtection="1">
      <alignment vertical="center"/>
      <protection hidden="1"/>
    </xf>
    <xf numFmtId="0" fontId="53" fillId="0" borderId="0" xfId="0" applyFont="1" applyFill="1" applyBorder="1" applyAlignment="1" applyProtection="1">
      <alignment horizontal="left" vertical="center"/>
      <protection hidden="1"/>
    </xf>
    <xf numFmtId="0" fontId="53" fillId="0" borderId="2" xfId="0" applyFont="1" applyBorder="1" applyAlignment="1" applyProtection="1">
      <alignment vertical="center"/>
      <protection hidden="1"/>
    </xf>
    <xf numFmtId="0" fontId="53" fillId="4" borderId="0" xfId="0" applyFont="1" applyFill="1" applyBorder="1" applyAlignment="1" applyProtection="1">
      <alignment horizontal="center" vertical="center"/>
      <protection locked="0" hidden="1"/>
    </xf>
    <xf numFmtId="0" fontId="53" fillId="4" borderId="0" xfId="0" applyFont="1" applyFill="1" applyBorder="1" applyAlignment="1" applyProtection="1">
      <alignment horizontal="center" vertical="center"/>
      <protection hidden="1"/>
    </xf>
    <xf numFmtId="0" fontId="53" fillId="0" borderId="8" xfId="0" applyFont="1" applyFill="1" applyBorder="1" applyAlignment="1" applyProtection="1">
      <alignment vertical="center"/>
      <protection hidden="1"/>
    </xf>
    <xf numFmtId="0" fontId="53" fillId="0" borderId="1" xfId="0" applyFont="1" applyFill="1" applyBorder="1" applyAlignment="1" applyProtection="1">
      <alignment vertical="center"/>
      <protection hidden="1"/>
    </xf>
    <xf numFmtId="0" fontId="53" fillId="0" borderId="1" xfId="0" applyFont="1" applyBorder="1" applyAlignment="1" applyProtection="1">
      <alignment vertical="center"/>
      <protection hidden="1"/>
    </xf>
    <xf numFmtId="0" fontId="53" fillId="0" borderId="4" xfId="0" applyFont="1" applyBorder="1" applyAlignment="1" applyProtection="1">
      <alignment vertical="center"/>
      <protection hidden="1"/>
    </xf>
    <xf numFmtId="0" fontId="53" fillId="0" borderId="6" xfId="0" applyFont="1" applyBorder="1" applyAlignment="1" applyProtection="1">
      <alignment vertical="center"/>
      <protection hidden="1"/>
    </xf>
    <xf numFmtId="0" fontId="53" fillId="0" borderId="5" xfId="0" applyFont="1" applyBorder="1" applyAlignment="1" applyProtection="1">
      <alignment horizontal="left" vertical="center"/>
      <protection hidden="1"/>
    </xf>
    <xf numFmtId="0" fontId="53" fillId="0" borderId="7" xfId="0" applyFont="1"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Fill="1" applyBorder="1" applyAlignment="1" applyProtection="1">
      <alignment vertical="center"/>
      <protection hidden="1"/>
    </xf>
    <xf numFmtId="0" fontId="53" fillId="0" borderId="0" xfId="0" applyFont="1" applyBorder="1" applyAlignment="1" applyProtection="1">
      <alignment horizontal="right" vertical="center"/>
      <protection hidden="1"/>
    </xf>
    <xf numFmtId="0" fontId="53" fillId="0" borderId="0" xfId="0" applyFont="1" applyFill="1" applyBorder="1" applyAlignment="1" applyProtection="1">
      <alignment horizontal="left" vertical="center"/>
      <protection locked="0" hidden="1"/>
    </xf>
    <xf numFmtId="0" fontId="53" fillId="0" borderId="0" xfId="0" applyFont="1" applyBorder="1" applyAlignment="1" applyProtection="1">
      <alignment horizontal="left" vertical="center"/>
      <protection hidden="1"/>
    </xf>
    <xf numFmtId="0" fontId="53" fillId="0" borderId="0" xfId="0" quotePrefix="1" applyNumberFormat="1" applyFont="1" applyFill="1" applyBorder="1" applyAlignment="1" applyProtection="1">
      <alignment horizontal="right" vertical="center"/>
      <protection hidden="1"/>
    </xf>
    <xf numFmtId="0" fontId="53" fillId="0" borderId="8" xfId="0" applyFont="1" applyBorder="1" applyAlignment="1" applyProtection="1">
      <alignment vertical="center"/>
      <protection hidden="1"/>
    </xf>
    <xf numFmtId="0" fontId="53" fillId="0" borderId="1" xfId="0" applyFont="1" applyBorder="1" applyAlignment="1" applyProtection="1">
      <alignment horizontal="left" vertical="center"/>
      <protection hidden="1"/>
    </xf>
    <xf numFmtId="0" fontId="53" fillId="0" borderId="0" xfId="0" quotePrefix="1" applyFont="1" applyFill="1" applyBorder="1" applyAlignment="1" applyProtection="1">
      <alignment horizontal="left" vertical="center"/>
      <protection hidden="1"/>
    </xf>
    <xf numFmtId="0" fontId="53" fillId="0" borderId="0" xfId="0" applyFont="1" applyFill="1" applyBorder="1" applyAlignment="1" applyProtection="1">
      <alignment horizontal="right" vertical="center"/>
      <protection locked="0" hidden="1"/>
    </xf>
    <xf numFmtId="0" fontId="53" fillId="0" borderId="0" xfId="0" quotePrefix="1" applyFont="1" applyFill="1" applyBorder="1" applyAlignment="1" applyProtection="1">
      <alignment horizontal="right" vertical="center"/>
      <protection hidden="1"/>
    </xf>
    <xf numFmtId="0" fontId="53" fillId="4" borderId="0" xfId="0" applyFont="1" applyFill="1" applyBorder="1" applyAlignment="1" applyProtection="1">
      <alignment vertical="center"/>
      <protection hidden="1"/>
    </xf>
    <xf numFmtId="0" fontId="53" fillId="0" borderId="0" xfId="0" applyFont="1" applyFill="1" applyBorder="1" applyAlignment="1" applyProtection="1">
      <alignment horizontal="right" vertical="center"/>
      <protection hidden="1"/>
    </xf>
    <xf numFmtId="0" fontId="53" fillId="0" borderId="0" xfId="0" applyFont="1" applyBorder="1" applyAlignment="1" applyProtection="1">
      <alignment horizontal="center" vertical="center"/>
      <protection hidden="1"/>
    </xf>
    <xf numFmtId="0" fontId="53" fillId="4" borderId="0" xfId="0" applyFont="1" applyFill="1" applyBorder="1" applyAlignment="1" applyProtection="1">
      <alignment horizontal="left" vertical="center"/>
      <protection hidden="1"/>
    </xf>
    <xf numFmtId="0" fontId="53" fillId="4" borderId="1" xfId="0" applyFont="1" applyFill="1" applyBorder="1" applyAlignment="1" applyProtection="1">
      <alignment vertical="center"/>
      <protection hidden="1"/>
    </xf>
    <xf numFmtId="0" fontId="53" fillId="0" borderId="3" xfId="0" applyFont="1" applyFill="1" applyBorder="1" applyAlignment="1" applyProtection="1">
      <alignment vertical="center"/>
      <protection hidden="1"/>
    </xf>
    <xf numFmtId="0" fontId="53" fillId="0" borderId="2" xfId="0" applyFont="1" applyFill="1" applyBorder="1" applyAlignment="1" applyProtection="1">
      <alignment vertical="center"/>
      <protection hidden="1"/>
    </xf>
    <xf numFmtId="0" fontId="53" fillId="4" borderId="0" xfId="0" applyFont="1" applyFill="1" applyBorder="1" applyAlignment="1" applyProtection="1">
      <alignment horizontal="left" vertical="center"/>
      <protection hidden="1"/>
    </xf>
    <xf numFmtId="0" fontId="53" fillId="0" borderId="0" xfId="0" applyFont="1" applyBorder="1" applyAlignment="1" applyProtection="1">
      <alignment vertical="center"/>
      <protection hidden="1"/>
    </xf>
    <xf numFmtId="0" fontId="50" fillId="3" borderId="0" xfId="0" applyFont="1" applyFill="1" applyAlignment="1" applyProtection="1">
      <alignment vertical="center"/>
      <protection hidden="1"/>
    </xf>
    <xf numFmtId="0" fontId="50" fillId="3" borderId="0" xfId="0" applyFont="1" applyFill="1" applyBorder="1" applyAlignment="1" applyProtection="1">
      <alignment vertical="center"/>
      <protection hidden="1"/>
    </xf>
    <xf numFmtId="0" fontId="50" fillId="3" borderId="0" xfId="0" applyFont="1" applyFill="1" applyAlignment="1" applyProtection="1">
      <alignment horizontal="left" vertical="center"/>
      <protection hidden="1"/>
    </xf>
    <xf numFmtId="0" fontId="50" fillId="0" borderId="0" xfId="0" applyFont="1" applyAlignment="1" applyProtection="1">
      <alignment horizontal="left" vertical="center"/>
      <protection hidden="1"/>
    </xf>
    <xf numFmtId="0" fontId="55" fillId="0" borderId="0" xfId="0" applyFont="1" applyAlignment="1" applyProtection="1">
      <alignment vertical="center"/>
      <protection hidden="1"/>
    </xf>
    <xf numFmtId="0" fontId="50" fillId="0" borderId="0" xfId="0" applyFont="1" applyFill="1" applyAlignment="1" applyProtection="1">
      <alignment vertical="center"/>
      <protection hidden="1"/>
    </xf>
    <xf numFmtId="0" fontId="50" fillId="0" borderId="0" xfId="0" applyFont="1" applyFill="1" applyBorder="1" applyAlignment="1" applyProtection="1">
      <alignment vertical="center"/>
      <protection hidden="1"/>
    </xf>
    <xf numFmtId="0" fontId="50" fillId="0" borderId="0" xfId="0" applyFont="1"/>
    <xf numFmtId="0" fontId="57" fillId="0" borderId="0" xfId="0" applyFont="1" applyFill="1" applyBorder="1" applyAlignment="1" applyProtection="1">
      <alignment vertical="center"/>
      <protection hidden="1"/>
    </xf>
    <xf numFmtId="0" fontId="57" fillId="0" borderId="0" xfId="0" applyFont="1" applyAlignment="1" applyProtection="1">
      <alignment vertical="center"/>
      <protection hidden="1"/>
    </xf>
    <xf numFmtId="0" fontId="57" fillId="3" borderId="0" xfId="0" applyFont="1" applyFill="1" applyBorder="1" applyAlignment="1" applyProtection="1">
      <alignment vertical="center"/>
      <protection hidden="1"/>
    </xf>
    <xf numFmtId="0" fontId="57" fillId="3" borderId="0" xfId="0" applyFont="1" applyFill="1" applyAlignment="1" applyProtection="1">
      <alignment vertical="center"/>
      <protection hidden="1"/>
    </xf>
    <xf numFmtId="0" fontId="56" fillId="0" borderId="0" xfId="0" applyFont="1" applyFill="1" applyAlignment="1" applyProtection="1">
      <alignment vertical="center"/>
      <protection hidden="1"/>
    </xf>
    <xf numFmtId="0" fontId="56" fillId="0" borderId="0" xfId="0" applyFont="1" applyFill="1" applyBorder="1" applyAlignment="1" applyProtection="1">
      <alignment vertical="center"/>
      <protection hidden="1"/>
    </xf>
    <xf numFmtId="0" fontId="29" fillId="3" borderId="0" xfId="0" applyFont="1" applyFill="1" applyAlignment="1" applyProtection="1">
      <alignment vertical="center"/>
      <protection hidden="1"/>
    </xf>
    <xf numFmtId="0" fontId="29" fillId="0" borderId="0" xfId="0" applyFont="1" applyAlignment="1" applyProtection="1">
      <alignment vertical="center"/>
      <protection hidden="1"/>
    </xf>
    <xf numFmtId="0" fontId="58" fillId="0" borderId="0" xfId="0" applyFont="1" applyAlignment="1" applyProtection="1">
      <alignment vertical="center"/>
      <protection hidden="1"/>
    </xf>
    <xf numFmtId="0" fontId="53" fillId="0" borderId="0" xfId="0" applyFont="1" applyBorder="1"/>
    <xf numFmtId="0" fontId="53" fillId="0" borderId="0" xfId="0" applyFont="1" applyBorder="1" applyProtection="1">
      <protection hidden="1"/>
    </xf>
    <xf numFmtId="0" fontId="53" fillId="0" borderId="0" xfId="0" quotePrefix="1" applyFont="1" applyFill="1" applyBorder="1" applyAlignment="1" applyProtection="1">
      <alignment horizontal="center" vertical="center"/>
      <protection hidden="1"/>
    </xf>
    <xf numFmtId="0" fontId="53" fillId="0" borderId="0" xfId="0" applyFont="1" applyFill="1" applyBorder="1" applyAlignment="1" applyProtection="1">
      <alignment horizontal="center" vertical="center"/>
      <protection hidden="1"/>
    </xf>
    <xf numFmtId="0" fontId="53" fillId="0" borderId="1" xfId="0" applyFont="1" applyFill="1" applyBorder="1" applyAlignment="1" applyProtection="1">
      <alignment horizontal="left"/>
      <protection hidden="1"/>
    </xf>
    <xf numFmtId="0" fontId="53" fillId="0" borderId="1" xfId="0" applyFont="1" applyBorder="1" applyProtection="1">
      <protection hidden="1"/>
    </xf>
    <xf numFmtId="0" fontId="53" fillId="0" borderId="0" xfId="0" applyFont="1" applyFill="1" applyBorder="1" applyAlignment="1" applyProtection="1">
      <alignment horizontal="left"/>
      <protection hidden="1"/>
    </xf>
    <xf numFmtId="0" fontId="53" fillId="0" borderId="5" xfId="0" applyFont="1" applyFill="1" applyBorder="1" applyAlignment="1" applyProtection="1">
      <alignment horizontal="left"/>
      <protection hidden="1"/>
    </xf>
    <xf numFmtId="0" fontId="53" fillId="0" borderId="5" xfId="0" applyFont="1" applyBorder="1" applyProtection="1">
      <protection hidden="1"/>
    </xf>
    <xf numFmtId="0" fontId="53" fillId="0" borderId="2" xfId="0" applyFont="1" applyFill="1" applyBorder="1" applyAlignment="1" applyProtection="1">
      <protection hidden="1"/>
    </xf>
    <xf numFmtId="0" fontId="53" fillId="0" borderId="0" xfId="0" applyFont="1" applyFill="1" applyBorder="1" applyAlignment="1" applyProtection="1">
      <protection hidden="1"/>
    </xf>
    <xf numFmtId="0" fontId="53" fillId="0" borderId="0" xfId="0" applyFont="1" applyFill="1" applyBorder="1" applyProtection="1">
      <protection hidden="1"/>
    </xf>
    <xf numFmtId="0" fontId="53" fillId="0" borderId="0" xfId="0" applyFont="1" applyFill="1" applyBorder="1" applyAlignment="1" applyProtection="1">
      <alignment horizontal="right"/>
      <protection hidden="1"/>
    </xf>
    <xf numFmtId="0" fontId="53" fillId="0" borderId="0" xfId="0" applyFont="1" applyFill="1" applyBorder="1" applyAlignment="1" applyProtection="1">
      <alignment horizontal="center"/>
      <protection hidden="1"/>
    </xf>
    <xf numFmtId="0" fontId="53" fillId="0" borderId="4" xfId="0" applyFont="1" applyFill="1" applyBorder="1" applyAlignment="1" applyProtection="1">
      <protection hidden="1"/>
    </xf>
    <xf numFmtId="0" fontId="53" fillId="0" borderId="0" xfId="0" applyFont="1" applyProtection="1">
      <protection hidden="1"/>
    </xf>
    <xf numFmtId="0" fontId="53" fillId="0" borderId="0" xfId="0" applyFont="1" applyBorder="1" applyAlignment="1" applyProtection="1">
      <alignment vertical="center"/>
      <protection locked="0" hidden="1"/>
    </xf>
    <xf numFmtId="0" fontId="26" fillId="0" borderId="5" xfId="0" applyFont="1" applyFill="1" applyBorder="1" applyAlignment="1" applyProtection="1">
      <alignment vertical="center"/>
      <protection hidden="1"/>
    </xf>
    <xf numFmtId="0" fontId="26" fillId="0" borderId="0" xfId="0" applyFont="1" applyBorder="1" applyAlignment="1" applyProtection="1">
      <alignment horizontal="left" vertical="center"/>
      <protection hidden="1"/>
    </xf>
    <xf numFmtId="0" fontId="53" fillId="5" borderId="0" xfId="0" applyFont="1" applyFill="1" applyBorder="1" applyAlignment="1" applyProtection="1">
      <alignment horizontal="center" vertical="center"/>
      <protection hidden="1"/>
    </xf>
    <xf numFmtId="0" fontId="53" fillId="6" borderId="0" xfId="0" applyFont="1" applyFill="1" applyBorder="1" applyAlignment="1" applyProtection="1">
      <alignment horizontal="left" vertical="center"/>
      <protection hidden="1"/>
    </xf>
    <xf numFmtId="0" fontId="53" fillId="6" borderId="0" xfId="0" applyFont="1" applyFill="1" applyBorder="1" applyAlignment="1" applyProtection="1">
      <alignment horizontal="center" vertical="center"/>
      <protection hidden="1"/>
    </xf>
    <xf numFmtId="0" fontId="53" fillId="6" borderId="0" xfId="0" applyFont="1" applyFill="1" applyBorder="1" applyAlignment="1" applyProtection="1">
      <alignment vertical="center"/>
      <protection hidden="1"/>
    </xf>
    <xf numFmtId="0" fontId="53" fillId="0" borderId="7" xfId="0" applyFont="1" applyBorder="1" applyAlignment="1" applyProtection="1">
      <protection hidden="1"/>
    </xf>
    <xf numFmtId="0" fontId="53" fillId="0" borderId="0" xfId="0" applyFont="1" applyBorder="1" applyAlignment="1" applyProtection="1">
      <alignment horizontal="left"/>
      <protection hidden="1"/>
    </xf>
    <xf numFmtId="0" fontId="53" fillId="0" borderId="0" xfId="0" applyFont="1" applyBorder="1" applyAlignment="1" applyProtection="1">
      <protection hidden="1"/>
    </xf>
    <xf numFmtId="0" fontId="53" fillId="0" borderId="2" xfId="0" applyFont="1" applyBorder="1" applyAlignment="1" applyProtection="1">
      <protection hidden="1"/>
    </xf>
    <xf numFmtId="0" fontId="26" fillId="0" borderId="0" xfId="0" applyFont="1" applyFill="1" applyBorder="1" applyAlignment="1" applyProtection="1">
      <alignment vertical="center"/>
      <protection hidden="1"/>
    </xf>
    <xf numFmtId="0" fontId="53" fillId="0" borderId="1" xfId="0" applyFont="1" applyBorder="1" applyAlignment="1">
      <alignment horizontal="left"/>
    </xf>
    <xf numFmtId="0" fontId="53" fillId="0" borderId="1" xfId="0" applyFont="1" applyBorder="1"/>
    <xf numFmtId="0" fontId="53" fillId="0" borderId="4" xfId="0" applyFont="1" applyBorder="1"/>
    <xf numFmtId="0" fontId="53" fillId="4" borderId="0" xfId="0" applyFont="1" applyFill="1" applyBorder="1" applyAlignment="1" applyProtection="1">
      <alignment horizontal="left" vertical="center" wrapText="1"/>
      <protection hidden="1"/>
    </xf>
    <xf numFmtId="0" fontId="53" fillId="0" borderId="0" xfId="0" applyFont="1" applyBorder="1" applyAlignment="1" applyProtection="1">
      <alignment horizontal="center" vertical="center" wrapText="1"/>
      <protection locked="0" hidden="1"/>
    </xf>
    <xf numFmtId="0" fontId="53" fillId="0" borderId="0" xfId="0" applyFont="1" applyAlignment="1" applyProtection="1">
      <alignment vertical="center"/>
      <protection locked="0" hidden="1"/>
    </xf>
    <xf numFmtId="0" fontId="26" fillId="0" borderId="1" xfId="0" applyFont="1" applyFill="1" applyBorder="1" applyAlignment="1" applyProtection="1">
      <alignment vertical="center"/>
      <protection hidden="1"/>
    </xf>
    <xf numFmtId="0" fontId="60" fillId="0" borderId="0" xfId="0" applyFont="1" applyFill="1" applyBorder="1" applyProtection="1">
      <protection hidden="1"/>
    </xf>
    <xf numFmtId="0" fontId="53" fillId="0" borderId="0" xfId="0" applyFont="1" applyAlignment="1" applyProtection="1">
      <protection hidden="1"/>
    </xf>
    <xf numFmtId="0" fontId="26" fillId="0" borderId="1" xfId="0" applyFont="1" applyBorder="1" applyAlignment="1" applyProtection="1">
      <alignment horizontal="left" vertical="center"/>
      <protection hidden="1"/>
    </xf>
    <xf numFmtId="0" fontId="54" fillId="4" borderId="0" xfId="0" applyFont="1" applyFill="1" applyAlignment="1" applyProtection="1">
      <alignment vertical="center"/>
      <protection locked="0" hidden="1"/>
    </xf>
    <xf numFmtId="0" fontId="61" fillId="0" borderId="0" xfId="0" applyFont="1" applyAlignment="1" applyProtection="1">
      <alignment vertical="center"/>
      <protection hidden="1"/>
    </xf>
    <xf numFmtId="0" fontId="61" fillId="0" borderId="0" xfId="0" applyFont="1" applyFill="1" applyBorder="1" applyAlignment="1" applyProtection="1">
      <alignment vertical="center"/>
      <protection hidden="1"/>
    </xf>
    <xf numFmtId="0" fontId="53" fillId="0" borderId="25" xfId="0" applyFont="1" applyBorder="1" applyAlignment="1" applyProtection="1">
      <alignment vertical="center"/>
      <protection hidden="1"/>
    </xf>
    <xf numFmtId="0" fontId="53" fillId="4" borderId="25" xfId="0" applyFont="1" applyFill="1" applyBorder="1" applyAlignment="1" applyProtection="1">
      <alignment horizontal="left" vertical="center"/>
      <protection hidden="1"/>
    </xf>
    <xf numFmtId="0" fontId="53" fillId="0" borderId="25" xfId="0" applyFont="1" applyBorder="1" applyAlignment="1" applyProtection="1">
      <alignment horizontal="left" vertical="center"/>
      <protection hidden="1"/>
    </xf>
    <xf numFmtId="0" fontId="53" fillId="0" borderId="27" xfId="0" applyFont="1" applyBorder="1" applyAlignment="1" applyProtection="1">
      <alignment horizontal="left" vertical="center"/>
      <protection hidden="1"/>
    </xf>
    <xf numFmtId="0" fontId="53" fillId="0" borderId="0" xfId="0" applyFont="1" applyFill="1" applyBorder="1" applyAlignment="1" applyProtection="1">
      <protection locked="0" hidden="1"/>
    </xf>
    <xf numFmtId="0" fontId="53" fillId="0" borderId="2" xfId="0" applyFont="1" applyFill="1" applyBorder="1" applyAlignment="1" applyProtection="1">
      <protection locked="0" hidden="1"/>
    </xf>
    <xf numFmtId="0" fontId="54" fillId="0" borderId="0" xfId="0" applyFont="1" applyAlignment="1" applyProtection="1">
      <alignment vertical="center"/>
      <protection hidden="1"/>
    </xf>
    <xf numFmtId="0" fontId="53" fillId="0" borderId="0" xfId="0" applyFont="1" applyBorder="1" applyAlignment="1" applyProtection="1">
      <alignment horizontal="left" vertical="center"/>
      <protection hidden="1"/>
    </xf>
    <xf numFmtId="0" fontId="53" fillId="0" borderId="0" xfId="0" applyFont="1" applyFill="1" applyBorder="1" applyAlignment="1" applyProtection="1">
      <alignment horizontal="left" vertical="center"/>
      <protection hidden="1"/>
    </xf>
    <xf numFmtId="0" fontId="53" fillId="0" borderId="0" xfId="0" applyFont="1" applyFill="1" applyBorder="1" applyAlignment="1" applyProtection="1">
      <alignment horizontal="center" vertical="center"/>
      <protection hidden="1"/>
    </xf>
    <xf numFmtId="0" fontId="53" fillId="0" borderId="0" xfId="0" applyFont="1" applyAlignment="1" applyProtection="1">
      <alignment horizontal="left" vertical="center"/>
      <protection hidden="1"/>
    </xf>
    <xf numFmtId="0" fontId="53" fillId="5" borderId="0" xfId="0" applyFont="1" applyFill="1" applyBorder="1" applyAlignment="1" applyProtection="1">
      <alignment horizontal="center" vertical="center"/>
      <protection hidden="1"/>
    </xf>
    <xf numFmtId="0" fontId="53" fillId="0" borderId="0" xfId="0" applyFont="1" applyBorder="1" applyAlignment="1" applyProtection="1">
      <alignment horizontal="left" vertical="center"/>
      <protection hidden="1"/>
    </xf>
    <xf numFmtId="3" fontId="43" fillId="0" borderId="34" xfId="0" applyNumberFormat="1" applyFont="1" applyFill="1" applyBorder="1" applyAlignment="1" applyProtection="1">
      <alignment horizontal="right"/>
      <protection hidden="1"/>
    </xf>
    <xf numFmtId="3" fontId="43" fillId="0" borderId="37" xfId="0" applyNumberFormat="1" applyFont="1" applyFill="1" applyBorder="1" applyAlignment="1" applyProtection="1">
      <alignment horizontal="right"/>
      <protection hidden="1"/>
    </xf>
    <xf numFmtId="3" fontId="43" fillId="0" borderId="81" xfId="0" applyNumberFormat="1" applyFont="1" applyFill="1" applyBorder="1" applyAlignment="1" applyProtection="1">
      <alignment horizontal="right"/>
      <protection hidden="1"/>
    </xf>
    <xf numFmtId="3" fontId="43" fillId="0" borderId="76" xfId="0" applyNumberFormat="1" applyFont="1" applyFill="1" applyBorder="1" applyAlignment="1" applyProtection="1">
      <alignment horizontal="right"/>
      <protection hidden="1"/>
    </xf>
    <xf numFmtId="0" fontId="53" fillId="29" borderId="38" xfId="0" applyFont="1" applyFill="1" applyBorder="1" applyAlignment="1" applyProtection="1">
      <alignment horizontal="center" vertical="center"/>
      <protection locked="0" hidden="1"/>
    </xf>
    <xf numFmtId="0" fontId="53" fillId="29" borderId="75" xfId="0" applyFont="1" applyFill="1" applyBorder="1" applyAlignment="1" applyProtection="1">
      <alignment horizontal="center" vertical="center"/>
      <protection locked="0" hidden="1"/>
    </xf>
    <xf numFmtId="0" fontId="53" fillId="29" borderId="67" xfId="0" applyFont="1" applyFill="1" applyBorder="1" applyAlignment="1" applyProtection="1">
      <alignment horizontal="center" vertical="center"/>
      <protection locked="0" hidden="1"/>
    </xf>
    <xf numFmtId="0" fontId="53" fillId="30" borderId="38" xfId="0" applyFont="1" applyFill="1" applyBorder="1" applyAlignment="1" applyProtection="1">
      <alignment horizontal="center" vertical="center"/>
      <protection locked="0" hidden="1"/>
    </xf>
    <xf numFmtId="0" fontId="53" fillId="30" borderId="75" xfId="0" applyFont="1" applyFill="1" applyBorder="1" applyAlignment="1" applyProtection="1">
      <alignment horizontal="center" vertical="center"/>
      <protection locked="0" hidden="1"/>
    </xf>
    <xf numFmtId="0" fontId="53" fillId="30" borderId="67" xfId="0" applyFont="1" applyFill="1" applyBorder="1" applyAlignment="1" applyProtection="1">
      <alignment horizontal="center" vertical="center"/>
      <protection locked="0" hidden="1"/>
    </xf>
    <xf numFmtId="0" fontId="53" fillId="0" borderId="2" xfId="0" applyFont="1" applyBorder="1" applyAlignment="1" applyProtection="1">
      <alignment horizontal="left" vertical="center"/>
      <protection hidden="1"/>
    </xf>
    <xf numFmtId="3" fontId="43" fillId="0" borderId="38" xfId="0" applyNumberFormat="1" applyFont="1" applyFill="1" applyBorder="1" applyAlignment="1" applyProtection="1">
      <alignment horizontal="right"/>
      <protection hidden="1"/>
    </xf>
    <xf numFmtId="0" fontId="43" fillId="0" borderId="34" xfId="0" applyFont="1" applyFill="1" applyBorder="1" applyAlignment="1" applyProtection="1">
      <alignment horizontal="center" vertical="center"/>
      <protection hidden="1"/>
    </xf>
    <xf numFmtId="0" fontId="43" fillId="0" borderId="46" xfId="0" applyFont="1" applyFill="1" applyBorder="1" applyAlignment="1" applyProtection="1">
      <alignment horizontal="center" vertical="center"/>
      <protection hidden="1"/>
    </xf>
    <xf numFmtId="0" fontId="48" fillId="0" borderId="33" xfId="0" applyFont="1" applyBorder="1" applyAlignment="1" applyProtection="1">
      <alignment horizontal="center"/>
      <protection hidden="1"/>
    </xf>
    <xf numFmtId="0" fontId="48" fillId="0" borderId="84" xfId="0" applyFont="1" applyBorder="1" applyAlignment="1" applyProtection="1">
      <alignment horizontal="center"/>
      <protection hidden="1"/>
    </xf>
    <xf numFmtId="0" fontId="53" fillId="0" borderId="0" xfId="0" applyFont="1" applyAlignment="1" applyProtection="1">
      <alignment horizontal="left" vertical="center"/>
      <protection hidden="1"/>
    </xf>
    <xf numFmtId="0" fontId="53" fillId="0" borderId="27" xfId="0" applyFont="1" applyFill="1" applyBorder="1" applyAlignment="1" applyProtection="1">
      <alignment horizontal="left" vertical="center"/>
      <protection locked="0" hidden="1"/>
    </xf>
    <xf numFmtId="0" fontId="53" fillId="0" borderId="25" xfId="0" applyFont="1" applyFill="1" applyBorder="1" applyAlignment="1" applyProtection="1">
      <alignment horizontal="left" vertical="center"/>
      <protection locked="0" hidden="1"/>
    </xf>
    <xf numFmtId="0" fontId="53" fillId="0" borderId="0" xfId="0" applyFont="1" applyBorder="1" applyAlignment="1" applyProtection="1">
      <alignment horizontal="right" vertical="center"/>
      <protection hidden="1"/>
    </xf>
    <xf numFmtId="0" fontId="53" fillId="0" borderId="2" xfId="0" applyFont="1" applyBorder="1" applyAlignment="1" applyProtection="1">
      <alignment horizontal="right" vertical="center"/>
      <protection hidden="1"/>
    </xf>
    <xf numFmtId="0" fontId="26" fillId="0" borderId="0" xfId="0" applyFont="1" applyBorder="1" applyAlignment="1" applyProtection="1">
      <alignment horizontal="left" vertical="center"/>
      <protection hidden="1"/>
    </xf>
    <xf numFmtId="0" fontId="48" fillId="0" borderId="0" xfId="0" applyFont="1" applyBorder="1" applyAlignment="1" applyProtection="1">
      <alignment horizontal="center" vertical="center"/>
      <protection hidden="1"/>
    </xf>
    <xf numFmtId="0" fontId="48" fillId="0" borderId="0" xfId="0" applyFont="1" applyBorder="1" applyAlignment="1" applyProtection="1">
      <alignment horizontal="left" vertical="center"/>
      <protection hidden="1"/>
    </xf>
    <xf numFmtId="0" fontId="53" fillId="4" borderId="25" xfId="0" applyFont="1" applyFill="1" applyBorder="1" applyAlignment="1" applyProtection="1">
      <alignment horizontal="left" vertical="center"/>
      <protection hidden="1"/>
    </xf>
    <xf numFmtId="0" fontId="53" fillId="0" borderId="0" xfId="0" applyFont="1" applyFill="1" applyBorder="1" applyAlignment="1" applyProtection="1">
      <alignment horizontal="left" vertical="center"/>
      <protection hidden="1"/>
    </xf>
    <xf numFmtId="0" fontId="53" fillId="0" borderId="27" xfId="0" applyFont="1" applyBorder="1" applyAlignment="1" applyProtection="1">
      <alignment horizontal="left" vertical="center"/>
      <protection hidden="1"/>
    </xf>
    <xf numFmtId="0" fontId="53" fillId="0" borderId="25" xfId="0" applyFont="1" applyBorder="1" applyAlignment="1" applyProtection="1">
      <alignment horizontal="left" vertical="center"/>
      <protection hidden="1"/>
    </xf>
    <xf numFmtId="0" fontId="59" fillId="0" borderId="0" xfId="0" applyFont="1" applyAlignment="1" applyProtection="1">
      <alignment horizontal="left" vertical="center"/>
      <protection hidden="1"/>
    </xf>
    <xf numFmtId="0" fontId="52" fillId="0" borderId="0" xfId="0" applyFont="1" applyAlignment="1" applyProtection="1">
      <alignment horizontal="left" vertical="center"/>
      <protection hidden="1"/>
    </xf>
    <xf numFmtId="0" fontId="51" fillId="0" borderId="0" xfId="0" applyFont="1" applyAlignment="1" applyProtection="1">
      <alignment horizontal="left" vertical="center"/>
      <protection hidden="1"/>
    </xf>
    <xf numFmtId="49" fontId="53" fillId="28" borderId="38" xfId="0" applyNumberFormat="1" applyFont="1" applyFill="1" applyBorder="1" applyAlignment="1" applyProtection="1">
      <alignment horizontal="left" vertical="center"/>
      <protection locked="0" hidden="1"/>
    </xf>
    <xf numFmtId="49" fontId="53" fillId="28" borderId="75" xfId="0" applyNumberFormat="1" applyFont="1" applyFill="1" applyBorder="1" applyAlignment="1" applyProtection="1">
      <alignment horizontal="left" vertical="center"/>
      <protection locked="0" hidden="1"/>
    </xf>
    <xf numFmtId="49" fontId="53" fillId="28" borderId="67" xfId="0" applyNumberFormat="1" applyFont="1" applyFill="1" applyBorder="1" applyAlignment="1" applyProtection="1">
      <alignment horizontal="left" vertical="center"/>
      <protection locked="0" hidden="1"/>
    </xf>
    <xf numFmtId="0" fontId="53" fillId="0" borderId="0" xfId="0" applyFont="1" applyBorder="1" applyAlignment="1" applyProtection="1">
      <alignment vertical="center"/>
      <protection hidden="1"/>
    </xf>
    <xf numFmtId="0" fontId="53" fillId="29" borderId="38" xfId="0" applyFont="1" applyFill="1" applyBorder="1" applyAlignment="1" applyProtection="1">
      <alignment horizontal="center" vertical="center"/>
      <protection hidden="1"/>
    </xf>
    <xf numFmtId="0" fontId="53" fillId="29" borderId="75" xfId="0" applyFont="1" applyFill="1" applyBorder="1" applyAlignment="1" applyProtection="1">
      <alignment horizontal="center" vertical="center"/>
      <protection hidden="1"/>
    </xf>
    <xf numFmtId="0" fontId="53" fillId="29" borderId="67" xfId="0" applyFont="1" applyFill="1" applyBorder="1" applyAlignment="1" applyProtection="1">
      <alignment horizontal="center" vertical="center"/>
      <protection hidden="1"/>
    </xf>
    <xf numFmtId="0" fontId="53" fillId="30" borderId="38" xfId="0" applyFont="1" applyFill="1" applyBorder="1" applyAlignment="1" applyProtection="1">
      <alignment horizontal="left" vertical="center"/>
      <protection locked="0" hidden="1"/>
    </xf>
    <xf numFmtId="0" fontId="53" fillId="30" borderId="75" xfId="0" applyFont="1" applyFill="1" applyBorder="1" applyAlignment="1" applyProtection="1">
      <alignment horizontal="left" vertical="center"/>
      <protection locked="0" hidden="1"/>
    </xf>
    <xf numFmtId="0" fontId="53" fillId="30" borderId="67" xfId="0" applyFont="1" applyFill="1" applyBorder="1" applyAlignment="1" applyProtection="1">
      <alignment horizontal="left" vertical="center"/>
      <protection locked="0" hidden="1"/>
    </xf>
    <xf numFmtId="14" fontId="53" fillId="28" borderId="38" xfId="0" applyNumberFormat="1" applyFont="1" applyFill="1" applyBorder="1" applyAlignment="1" applyProtection="1">
      <alignment horizontal="left" vertical="center"/>
      <protection locked="0" hidden="1"/>
    </xf>
    <xf numFmtId="14" fontId="53" fillId="28" borderId="75" xfId="0" applyNumberFormat="1" applyFont="1" applyFill="1" applyBorder="1" applyAlignment="1" applyProtection="1">
      <alignment horizontal="left" vertical="center"/>
      <protection locked="0" hidden="1"/>
    </xf>
    <xf numFmtId="14" fontId="53" fillId="28" borderId="67" xfId="0" applyNumberFormat="1" applyFont="1" applyFill="1" applyBorder="1" applyAlignment="1" applyProtection="1">
      <alignment horizontal="left" vertical="center"/>
      <protection locked="0" hidden="1"/>
    </xf>
    <xf numFmtId="0" fontId="53" fillId="0" borderId="0" xfId="0" applyFont="1" applyAlignment="1" applyProtection="1">
      <alignment horizontal="right" vertical="center"/>
      <protection hidden="1"/>
    </xf>
    <xf numFmtId="49" fontId="53" fillId="0" borderId="0" xfId="0" applyNumberFormat="1" applyFont="1" applyFill="1" applyBorder="1" applyAlignment="1" applyProtection="1">
      <alignment horizontal="center" vertical="center"/>
      <protection locked="0" hidden="1"/>
    </xf>
    <xf numFmtId="0" fontId="53" fillId="0" borderId="0" xfId="0" applyFont="1" applyFill="1" applyBorder="1" applyAlignment="1" applyProtection="1">
      <alignment horizontal="left" vertical="center"/>
      <protection locked="0" hidden="1"/>
    </xf>
    <xf numFmtId="0" fontId="53" fillId="0" borderId="0" xfId="0" applyFont="1" applyBorder="1" applyAlignment="1" applyProtection="1">
      <alignment horizontal="center" vertical="center"/>
      <protection hidden="1"/>
    </xf>
    <xf numFmtId="0" fontId="53" fillId="0" borderId="0" xfId="0" applyFont="1" applyFill="1" applyBorder="1" applyAlignment="1" applyProtection="1">
      <alignment horizontal="right" vertical="center"/>
      <protection hidden="1"/>
    </xf>
    <xf numFmtId="0" fontId="53" fillId="4" borderId="0" xfId="0" applyFont="1" applyFill="1" applyBorder="1" applyAlignment="1" applyProtection="1">
      <alignment horizontal="left" vertical="center"/>
      <protection hidden="1"/>
    </xf>
    <xf numFmtId="0" fontId="53" fillId="0" borderId="25" xfId="0" applyFont="1" applyBorder="1" applyAlignment="1" applyProtection="1">
      <alignment horizontal="center" vertical="center"/>
      <protection hidden="1"/>
    </xf>
    <xf numFmtId="0" fontId="53" fillId="0" borderId="27" xfId="0" applyFont="1" applyBorder="1" applyAlignment="1" applyProtection="1">
      <alignment horizontal="center" vertical="center"/>
      <protection hidden="1"/>
    </xf>
    <xf numFmtId="0" fontId="53" fillId="4" borderId="27" xfId="0" applyFont="1" applyFill="1" applyBorder="1" applyAlignment="1" applyProtection="1">
      <alignment horizontal="center" vertical="center"/>
      <protection hidden="1"/>
    </xf>
    <xf numFmtId="0" fontId="53" fillId="4" borderId="25" xfId="0" applyFont="1" applyFill="1" applyBorder="1" applyAlignment="1" applyProtection="1">
      <alignment horizontal="center" vertical="center"/>
      <protection hidden="1"/>
    </xf>
    <xf numFmtId="0" fontId="53" fillId="0" borderId="0" xfId="0" applyFont="1" applyFill="1" applyBorder="1" applyAlignment="1" applyProtection="1">
      <alignment horizontal="center" vertical="center"/>
      <protection hidden="1"/>
    </xf>
    <xf numFmtId="164" fontId="53" fillId="30" borderId="38" xfId="0" applyNumberFormat="1" applyFont="1" applyFill="1" applyBorder="1" applyAlignment="1" applyProtection="1">
      <alignment horizontal="center" vertical="center"/>
      <protection locked="0" hidden="1"/>
    </xf>
    <xf numFmtId="164" fontId="53" fillId="30" borderId="67" xfId="0" applyNumberFormat="1" applyFont="1" applyFill="1" applyBorder="1" applyAlignment="1" applyProtection="1">
      <alignment horizontal="center" vertical="center"/>
      <protection locked="0" hidden="1"/>
    </xf>
    <xf numFmtId="49" fontId="53" fillId="29" borderId="38" xfId="0" applyNumberFormat="1" applyFont="1" applyFill="1" applyBorder="1" applyAlignment="1" applyProtection="1">
      <alignment horizontal="left" vertical="center"/>
      <protection locked="0" hidden="1"/>
    </xf>
    <xf numFmtId="49" fontId="53" fillId="29" borderId="75" xfId="0" applyNumberFormat="1" applyFont="1" applyFill="1" applyBorder="1" applyAlignment="1" applyProtection="1">
      <alignment horizontal="left" vertical="center"/>
      <protection locked="0" hidden="1"/>
    </xf>
    <xf numFmtId="49" fontId="53" fillId="29" borderId="67" xfId="0" applyNumberFormat="1" applyFont="1" applyFill="1" applyBorder="1" applyAlignment="1" applyProtection="1">
      <alignment horizontal="left" vertical="center"/>
      <protection locked="0" hidden="1"/>
    </xf>
    <xf numFmtId="0" fontId="53" fillId="0" borderId="25" xfId="0" applyFont="1" applyFill="1" applyBorder="1" applyAlignment="1" applyProtection="1">
      <alignment horizontal="center" vertical="center"/>
      <protection locked="0" hidden="1"/>
    </xf>
    <xf numFmtId="3" fontId="43" fillId="0" borderId="34" xfId="0" applyNumberFormat="1" applyFont="1" applyBorder="1" applyAlignment="1" applyProtection="1">
      <alignment horizontal="right"/>
      <protection hidden="1"/>
    </xf>
    <xf numFmtId="3" fontId="43" fillId="0" borderId="37" xfId="0" applyNumberFormat="1" applyFont="1" applyBorder="1" applyAlignment="1" applyProtection="1">
      <alignment horizontal="right"/>
      <protection hidden="1"/>
    </xf>
    <xf numFmtId="0" fontId="53" fillId="0" borderId="5" xfId="0" applyFont="1" applyFill="1" applyBorder="1" applyAlignment="1" applyProtection="1">
      <alignment horizontal="left" vertical="center"/>
      <protection hidden="1"/>
    </xf>
    <xf numFmtId="0" fontId="53" fillId="0" borderId="1" xfId="0" applyFont="1" applyFill="1" applyBorder="1" applyAlignment="1" applyProtection="1">
      <alignment horizontal="left" vertical="center"/>
      <protection hidden="1"/>
    </xf>
    <xf numFmtId="0" fontId="53" fillId="27" borderId="38" xfId="0" applyFont="1" applyFill="1" applyBorder="1" applyAlignment="1" applyProtection="1">
      <alignment horizontal="center" vertical="center"/>
      <protection hidden="1"/>
    </xf>
    <xf numFmtId="0" fontId="53" fillId="27" borderId="75" xfId="0" applyFont="1" applyFill="1" applyBorder="1" applyAlignment="1" applyProtection="1">
      <alignment horizontal="center" vertical="center"/>
      <protection hidden="1"/>
    </xf>
    <xf numFmtId="0" fontId="53" fillId="27" borderId="67" xfId="0" applyFont="1" applyFill="1" applyBorder="1" applyAlignment="1" applyProtection="1">
      <alignment horizontal="center" vertical="center"/>
      <protection hidden="1"/>
    </xf>
    <xf numFmtId="3" fontId="43" fillId="0" borderId="35" xfId="0" applyNumberFormat="1" applyFont="1" applyFill="1" applyBorder="1" applyAlignment="1" applyProtection="1">
      <alignment horizontal="right"/>
      <protection hidden="1"/>
    </xf>
    <xf numFmtId="3" fontId="43" fillId="0" borderId="64" xfId="0" applyNumberFormat="1" applyFont="1" applyFill="1" applyBorder="1" applyAlignment="1" applyProtection="1">
      <alignment horizontal="right"/>
      <protection hidden="1"/>
    </xf>
    <xf numFmtId="3" fontId="43" fillId="0" borderId="65" xfId="0" applyNumberFormat="1" applyFont="1" applyFill="1" applyBorder="1" applyAlignment="1" applyProtection="1">
      <alignment horizontal="right"/>
      <protection hidden="1"/>
    </xf>
    <xf numFmtId="0" fontId="43" fillId="0" borderId="35"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vertical="center"/>
      <protection hidden="1"/>
    </xf>
    <xf numFmtId="0" fontId="43" fillId="0" borderId="34" xfId="0" applyFont="1" applyBorder="1" applyAlignment="1" applyProtection="1">
      <alignment horizontal="center" vertical="center"/>
      <protection hidden="1"/>
    </xf>
    <xf numFmtId="0" fontId="43" fillId="0" borderId="46" xfId="0" applyFont="1" applyBorder="1" applyAlignment="1" applyProtection="1">
      <alignment horizontal="center" vertical="center"/>
      <protection hidden="1"/>
    </xf>
    <xf numFmtId="0" fontId="48" fillId="0" borderId="83" xfId="0" applyFont="1" applyBorder="1" applyAlignment="1" applyProtection="1">
      <alignment horizontal="center" vertical="center"/>
      <protection hidden="1"/>
    </xf>
    <xf numFmtId="0" fontId="48" fillId="0" borderId="78" xfId="0" applyFont="1" applyBorder="1" applyAlignment="1" applyProtection="1">
      <alignment horizontal="center" vertical="center"/>
      <protection hidden="1"/>
    </xf>
    <xf numFmtId="0" fontId="48" fillId="0" borderId="79" xfId="0" applyFont="1" applyBorder="1" applyAlignment="1" applyProtection="1">
      <alignment horizontal="center" vertical="center"/>
      <protection hidden="1"/>
    </xf>
    <xf numFmtId="0" fontId="48" fillId="0" borderId="33" xfId="0" applyFont="1" applyBorder="1" applyAlignment="1" applyProtection="1">
      <alignment horizontal="center" vertical="center"/>
      <protection hidden="1"/>
    </xf>
    <xf numFmtId="0" fontId="48" fillId="0" borderId="45" xfId="0" applyFont="1" applyBorder="1" applyAlignment="1" applyProtection="1">
      <alignment horizontal="center" vertical="center"/>
      <protection hidden="1"/>
    </xf>
    <xf numFmtId="0" fontId="48" fillId="0" borderId="85" xfId="0" applyFont="1" applyBorder="1" applyAlignment="1" applyProtection="1">
      <alignment horizontal="center"/>
      <protection hidden="1"/>
    </xf>
    <xf numFmtId="3" fontId="43" fillId="0" borderId="38" xfId="0" applyNumberFormat="1" applyFont="1" applyBorder="1" applyAlignment="1" applyProtection="1">
      <alignment horizontal="right"/>
      <protection hidden="1"/>
    </xf>
    <xf numFmtId="0" fontId="53" fillId="27" borderId="38" xfId="0" applyFont="1" applyFill="1" applyBorder="1" applyAlignment="1" applyProtection="1">
      <alignment horizontal="center" vertical="center"/>
      <protection locked="0" hidden="1"/>
    </xf>
    <xf numFmtId="0" fontId="53" fillId="27" borderId="75" xfId="0" applyFont="1" applyFill="1" applyBorder="1" applyAlignment="1" applyProtection="1">
      <alignment horizontal="center" vertical="center"/>
      <protection locked="0" hidden="1"/>
    </xf>
    <xf numFmtId="0" fontId="53" fillId="27" borderId="67" xfId="0" applyFont="1" applyFill="1" applyBorder="1" applyAlignment="1" applyProtection="1">
      <alignment horizontal="center" vertical="center"/>
      <protection locked="0" hidden="1"/>
    </xf>
    <xf numFmtId="0" fontId="43" fillId="0" borderId="0" xfId="0" applyFont="1" applyBorder="1" applyAlignment="1" applyProtection="1">
      <alignment horizontal="center" vertical="center"/>
      <protection hidden="1"/>
    </xf>
    <xf numFmtId="0" fontId="53" fillId="0" borderId="0" xfId="0" applyFont="1" applyBorder="1" applyAlignment="1" applyProtection="1">
      <alignment horizontal="left" vertical="center" wrapText="1"/>
      <protection hidden="1"/>
    </xf>
    <xf numFmtId="3" fontId="43" fillId="0" borderId="6" xfId="0" applyNumberFormat="1" applyFont="1" applyFill="1" applyBorder="1" applyAlignment="1" applyProtection="1">
      <alignment horizontal="right"/>
      <protection hidden="1"/>
    </xf>
    <xf numFmtId="0" fontId="43" fillId="0" borderId="81" xfId="0" applyFont="1" applyFill="1" applyBorder="1" applyAlignment="1" applyProtection="1">
      <alignment horizontal="center" vertical="center"/>
      <protection hidden="1"/>
    </xf>
    <xf numFmtId="0" fontId="43" fillId="0" borderId="82" xfId="0" applyFont="1" applyFill="1" applyBorder="1" applyAlignment="1" applyProtection="1">
      <alignment horizontal="center" vertical="center"/>
      <protection hidden="1"/>
    </xf>
    <xf numFmtId="0" fontId="53" fillId="0" borderId="0" xfId="0" applyFont="1" applyFill="1" applyBorder="1" applyAlignment="1" applyProtection="1">
      <alignment horizontal="left"/>
      <protection hidden="1"/>
    </xf>
    <xf numFmtId="0" fontId="53" fillId="0" borderId="2" xfId="0" applyFont="1" applyFill="1" applyBorder="1" applyAlignment="1" applyProtection="1">
      <alignment horizontal="left"/>
      <protection hidden="1"/>
    </xf>
    <xf numFmtId="0" fontId="53" fillId="29" borderId="38" xfId="0" applyFont="1" applyFill="1" applyBorder="1" applyAlignment="1" applyProtection="1">
      <alignment horizontal="center" vertical="center"/>
      <protection locked="0"/>
    </xf>
    <xf numFmtId="0" fontId="53" fillId="29" borderId="75" xfId="0" applyFont="1" applyFill="1" applyBorder="1" applyAlignment="1" applyProtection="1">
      <alignment horizontal="center" vertical="center"/>
      <protection locked="0"/>
    </xf>
    <xf numFmtId="0" fontId="53" fillId="29" borderId="67" xfId="0" applyFont="1" applyFill="1" applyBorder="1" applyAlignment="1" applyProtection="1">
      <alignment horizontal="center" vertical="center"/>
      <protection locked="0"/>
    </xf>
    <xf numFmtId="0" fontId="53" fillId="0" borderId="25" xfId="0" applyFont="1" applyFill="1" applyBorder="1" applyAlignment="1" applyProtection="1">
      <alignment horizontal="left"/>
      <protection hidden="1"/>
    </xf>
    <xf numFmtId="0" fontId="53" fillId="0" borderId="27" xfId="0" applyFont="1" applyFill="1" applyBorder="1" applyAlignment="1" applyProtection="1">
      <alignment horizontal="left" vertical="center"/>
      <protection hidden="1"/>
    </xf>
    <xf numFmtId="0" fontId="53" fillId="0" borderId="25" xfId="0" applyFont="1" applyFill="1" applyBorder="1" applyAlignment="1" applyProtection="1">
      <alignment horizontal="left" vertical="center"/>
      <protection hidden="1"/>
    </xf>
    <xf numFmtId="0" fontId="53" fillId="0" borderId="27" xfId="0" applyFont="1" applyFill="1" applyBorder="1" applyAlignment="1" applyProtection="1">
      <alignment horizontal="left" vertical="center"/>
      <protection locked="0"/>
    </xf>
    <xf numFmtId="0" fontId="53" fillId="0" borderId="25" xfId="0" applyFont="1" applyFill="1" applyBorder="1" applyAlignment="1" applyProtection="1">
      <alignment horizontal="left" vertical="center"/>
      <protection locked="0"/>
    </xf>
    <xf numFmtId="0" fontId="53" fillId="27" borderId="38" xfId="0" applyFont="1" applyFill="1" applyBorder="1" applyAlignment="1" applyProtection="1">
      <alignment horizontal="center"/>
      <protection locked="0"/>
    </xf>
    <xf numFmtId="0" fontId="53" fillId="27" borderId="75" xfId="0" applyFont="1" applyFill="1" applyBorder="1" applyAlignment="1" applyProtection="1">
      <alignment horizontal="center"/>
      <protection locked="0"/>
    </xf>
    <xf numFmtId="0" fontId="53" fillId="27" borderId="67" xfId="0" applyFont="1" applyFill="1" applyBorder="1" applyAlignment="1" applyProtection="1">
      <alignment horizontal="center"/>
      <protection locked="0"/>
    </xf>
    <xf numFmtId="0" fontId="53" fillId="4" borderId="0" xfId="0" applyFont="1" applyFill="1" applyBorder="1" applyAlignment="1" applyProtection="1">
      <alignment horizontal="center" vertical="center"/>
      <protection locked="0" hidden="1"/>
    </xf>
    <xf numFmtId="0" fontId="53" fillId="0" borderId="0" xfId="0" applyFont="1" applyBorder="1" applyAlignment="1" applyProtection="1">
      <alignment horizontal="left" vertical="center"/>
      <protection locked="0"/>
    </xf>
    <xf numFmtId="0" fontId="53" fillId="31" borderId="38" xfId="0" applyFont="1" applyFill="1" applyBorder="1" applyAlignment="1" applyProtection="1">
      <alignment horizontal="center" vertical="center"/>
      <protection locked="0"/>
    </xf>
    <xf numFmtId="0" fontId="53" fillId="31" borderId="75" xfId="0" applyFont="1" applyFill="1" applyBorder="1" applyAlignment="1" applyProtection="1">
      <alignment horizontal="center" vertical="center"/>
      <protection locked="0"/>
    </xf>
    <xf numFmtId="0" fontId="53" fillId="31" borderId="67" xfId="0" applyFont="1" applyFill="1" applyBorder="1" applyAlignment="1" applyProtection="1">
      <alignment horizontal="center" vertical="center"/>
      <protection locked="0"/>
    </xf>
    <xf numFmtId="0" fontId="53" fillId="29" borderId="75" xfId="0" applyFont="1" applyFill="1" applyBorder="1" applyAlignment="1" applyProtection="1">
      <alignment vertical="center"/>
      <protection locked="0" hidden="1"/>
    </xf>
    <xf numFmtId="0" fontId="53" fillId="29" borderId="67" xfId="0" applyFont="1" applyFill="1" applyBorder="1" applyAlignment="1" applyProtection="1">
      <alignment vertical="center"/>
      <protection locked="0" hidden="1"/>
    </xf>
    <xf numFmtId="0" fontId="53" fillId="0" borderId="0" xfId="0" applyFont="1" applyBorder="1" applyAlignment="1" applyProtection="1">
      <alignment horizontal="center" vertical="center"/>
      <protection locked="0" hidden="1"/>
    </xf>
    <xf numFmtId="0" fontId="53" fillId="29" borderId="38" xfId="0" applyFont="1" applyFill="1" applyBorder="1" applyAlignment="1" applyProtection="1">
      <alignment horizontal="left" vertical="center"/>
      <protection locked="0" hidden="1"/>
    </xf>
    <xf numFmtId="0" fontId="53" fillId="29" borderId="75" xfId="0" applyFont="1" applyFill="1" applyBorder="1" applyAlignment="1" applyProtection="1">
      <alignment horizontal="left" vertical="center"/>
      <protection locked="0" hidden="1"/>
    </xf>
    <xf numFmtId="0" fontId="53" fillId="29" borderId="67" xfId="0" applyFont="1" applyFill="1" applyBorder="1" applyAlignment="1" applyProtection="1">
      <alignment horizontal="left" vertical="center"/>
      <protection locked="0" hidden="1"/>
    </xf>
    <xf numFmtId="0" fontId="53" fillId="0" borderId="27" xfId="0" applyFont="1" applyFill="1" applyBorder="1" applyAlignment="1" applyProtection="1">
      <alignment horizontal="center" vertical="center"/>
      <protection locked="0"/>
    </xf>
    <xf numFmtId="0" fontId="53" fillId="0" borderId="25" xfId="0" applyFont="1" applyFill="1" applyBorder="1" applyAlignment="1" applyProtection="1">
      <alignment horizontal="center" vertical="center"/>
      <protection locked="0"/>
    </xf>
    <xf numFmtId="1" fontId="53" fillId="0" borderId="0" xfId="0" applyNumberFormat="1" applyFont="1" applyBorder="1" applyAlignment="1" applyProtection="1">
      <alignment horizontal="center" vertical="center"/>
      <protection locked="0" hidden="1"/>
    </xf>
    <xf numFmtId="0" fontId="53" fillId="0" borderId="2" xfId="0" applyFont="1" applyFill="1" applyBorder="1" applyAlignment="1" applyProtection="1">
      <alignment horizontal="left" vertical="center"/>
      <protection hidden="1"/>
    </xf>
    <xf numFmtId="0" fontId="53" fillId="4" borderId="0" xfId="0" applyFont="1" applyFill="1" applyBorder="1" applyAlignment="1" applyProtection="1">
      <alignment horizontal="left" vertical="center"/>
      <protection locked="0" hidden="1"/>
    </xf>
    <xf numFmtId="0" fontId="53" fillId="27" borderId="38" xfId="0" applyNumberFormat="1" applyFont="1" applyFill="1" applyBorder="1" applyAlignment="1" applyProtection="1">
      <alignment horizontal="center" vertical="center"/>
      <protection locked="0" hidden="1"/>
    </xf>
    <xf numFmtId="0" fontId="53" fillId="27" borderId="75" xfId="0" applyNumberFormat="1" applyFont="1" applyFill="1" applyBorder="1" applyAlignment="1" applyProtection="1">
      <alignment horizontal="center" vertical="center"/>
      <protection locked="0" hidden="1"/>
    </xf>
    <xf numFmtId="0" fontId="53" fillId="27" borderId="67" xfId="0" applyNumberFormat="1" applyFont="1" applyFill="1" applyBorder="1" applyAlignment="1" applyProtection="1">
      <alignment horizontal="center" vertical="center"/>
      <protection locked="0" hidden="1"/>
    </xf>
    <xf numFmtId="0" fontId="53" fillId="25" borderId="25" xfId="0" applyFont="1" applyFill="1" applyBorder="1" applyAlignment="1" applyProtection="1">
      <alignment horizontal="left"/>
      <protection locked="0"/>
    </xf>
    <xf numFmtId="0" fontId="53" fillId="0" borderId="0" xfId="0" applyFont="1" applyFill="1" applyBorder="1" applyAlignment="1" applyProtection="1">
      <alignment horizontal="right"/>
      <protection hidden="1"/>
    </xf>
    <xf numFmtId="0" fontId="53" fillId="0" borderId="2" xfId="0" applyFont="1" applyFill="1" applyBorder="1" applyAlignment="1" applyProtection="1">
      <alignment horizontal="right"/>
      <protection hidden="1"/>
    </xf>
    <xf numFmtId="0" fontId="53" fillId="0" borderId="25" xfId="0" applyFont="1" applyFill="1" applyBorder="1" applyAlignment="1" applyProtection="1">
      <alignment horizontal="left"/>
      <protection locked="0"/>
    </xf>
    <xf numFmtId="0" fontId="26" fillId="0" borderId="0" xfId="0" applyFont="1" applyFill="1" applyBorder="1" applyAlignment="1" applyProtection="1">
      <alignment horizontal="left" vertical="center"/>
      <protection hidden="1"/>
    </xf>
    <xf numFmtId="0" fontId="26" fillId="0" borderId="2" xfId="0" applyFont="1" applyBorder="1" applyAlignment="1" applyProtection="1">
      <alignment horizontal="left" vertical="center"/>
      <protection hidden="1"/>
    </xf>
    <xf numFmtId="0" fontId="53" fillId="29" borderId="1" xfId="0" applyFont="1" applyFill="1" applyBorder="1" applyAlignment="1" applyProtection="1">
      <alignment horizontal="center" vertical="center"/>
      <protection locked="0" hidden="1"/>
    </xf>
    <xf numFmtId="0" fontId="26" fillId="0" borderId="0" xfId="0" applyFont="1" applyFill="1" applyBorder="1" applyAlignment="1" applyProtection="1">
      <alignment horizontal="left"/>
      <protection hidden="1"/>
    </xf>
    <xf numFmtId="0" fontId="53" fillId="29" borderId="38" xfId="0" applyFont="1" applyFill="1" applyBorder="1" applyAlignment="1" applyProtection="1">
      <alignment horizontal="center"/>
      <protection locked="0" hidden="1"/>
    </xf>
    <xf numFmtId="0" fontId="53" fillId="29" borderId="75" xfId="0" applyFont="1" applyFill="1" applyBorder="1" applyAlignment="1" applyProtection="1">
      <alignment horizontal="center"/>
      <protection locked="0" hidden="1"/>
    </xf>
    <xf numFmtId="0" fontId="53" fillId="29" borderId="67" xfId="0" applyFont="1" applyFill="1" applyBorder="1" applyAlignment="1" applyProtection="1">
      <alignment horizontal="center"/>
      <protection locked="0" hidden="1"/>
    </xf>
    <xf numFmtId="0" fontId="50" fillId="29" borderId="38" xfId="0" applyFont="1" applyFill="1" applyBorder="1" applyAlignment="1" applyProtection="1">
      <alignment horizontal="center" vertical="center"/>
      <protection locked="0" hidden="1"/>
    </xf>
    <xf numFmtId="0" fontId="50" fillId="29" borderId="75" xfId="0" applyFont="1" applyFill="1" applyBorder="1" applyAlignment="1" applyProtection="1">
      <alignment horizontal="center" vertical="center"/>
      <protection locked="0" hidden="1"/>
    </xf>
    <xf numFmtId="0" fontId="50" fillId="29" borderId="67" xfId="0" applyFont="1" applyFill="1" applyBorder="1" applyAlignment="1" applyProtection="1">
      <alignment horizontal="center" vertical="center"/>
      <protection locked="0" hidden="1"/>
    </xf>
    <xf numFmtId="0" fontId="53" fillId="0" borderId="1" xfId="0" applyFont="1" applyBorder="1" applyAlignment="1" applyProtection="1">
      <alignment horizontal="left" vertical="center" wrapText="1"/>
      <protection hidden="1"/>
    </xf>
    <xf numFmtId="0" fontId="50" fillId="27" borderId="38" xfId="0" applyFont="1" applyFill="1" applyBorder="1" applyAlignment="1" applyProtection="1">
      <alignment horizontal="center" vertical="center"/>
      <protection locked="0" hidden="1"/>
    </xf>
    <xf numFmtId="0" fontId="50" fillId="27" borderId="75" xfId="0" applyFont="1" applyFill="1" applyBorder="1" applyAlignment="1" applyProtection="1">
      <alignment horizontal="center" vertical="center"/>
      <protection locked="0" hidden="1"/>
    </xf>
    <xf numFmtId="0" fontId="50" fillId="27" borderId="67" xfId="0" applyFont="1" applyFill="1" applyBorder="1" applyAlignment="1" applyProtection="1">
      <alignment horizontal="center" vertical="center"/>
      <protection locked="0" hidden="1"/>
    </xf>
    <xf numFmtId="0" fontId="26" fillId="5" borderId="37" xfId="0" applyFont="1" applyFill="1" applyBorder="1" applyAlignment="1" applyProtection="1">
      <alignment horizontal="center" vertical="center"/>
      <protection hidden="1"/>
    </xf>
    <xf numFmtId="0" fontId="53" fillId="4" borderId="0" xfId="0" applyFont="1" applyFill="1" applyBorder="1" applyAlignment="1" applyProtection="1">
      <alignment horizontal="center" vertical="center"/>
      <protection hidden="1"/>
    </xf>
    <xf numFmtId="49" fontId="53" fillId="4" borderId="7" xfId="0" applyNumberFormat="1" applyFont="1" applyFill="1" applyBorder="1" applyAlignment="1" applyProtection="1">
      <alignment horizontal="left" vertical="top"/>
      <protection locked="0"/>
    </xf>
    <xf numFmtId="49" fontId="53" fillId="4" borderId="0" xfId="0" applyNumberFormat="1" applyFont="1" applyFill="1" applyBorder="1" applyAlignment="1" applyProtection="1">
      <alignment horizontal="left" vertical="top"/>
      <protection locked="0"/>
    </xf>
    <xf numFmtId="49" fontId="53" fillId="4" borderId="2" xfId="0" applyNumberFormat="1" applyFont="1" applyFill="1" applyBorder="1" applyAlignment="1" applyProtection="1">
      <alignment horizontal="left" vertical="top"/>
      <protection locked="0"/>
    </xf>
    <xf numFmtId="0" fontId="41" fillId="0" borderId="0" xfId="0" applyNumberFormat="1" applyFont="1" applyBorder="1" applyAlignment="1" applyProtection="1">
      <alignment horizontal="center" vertical="center"/>
      <protection hidden="1"/>
    </xf>
    <xf numFmtId="0" fontId="46" fillId="3" borderId="0" xfId="0" applyFont="1" applyFill="1" applyBorder="1" applyAlignment="1" applyProtection="1">
      <alignment horizontal="center" vertical="center" wrapText="1"/>
      <protection hidden="1"/>
    </xf>
    <xf numFmtId="49" fontId="53" fillId="4" borderId="8" xfId="0" applyNumberFormat="1" applyFont="1" applyFill="1" applyBorder="1" applyAlignment="1" applyProtection="1">
      <alignment horizontal="left" vertical="top"/>
      <protection locked="0"/>
    </xf>
    <xf numFmtId="49" fontId="53" fillId="4" borderId="1" xfId="0" applyNumberFormat="1" applyFont="1" applyFill="1" applyBorder="1" applyAlignment="1" applyProtection="1">
      <alignment horizontal="left" vertical="top"/>
      <protection locked="0"/>
    </xf>
    <xf numFmtId="49" fontId="53" fillId="4" borderId="4" xfId="0" applyNumberFormat="1" applyFont="1" applyFill="1" applyBorder="1" applyAlignment="1" applyProtection="1">
      <alignment horizontal="left" vertical="top"/>
      <protection locked="0"/>
    </xf>
    <xf numFmtId="49" fontId="53" fillId="0" borderId="1" xfId="0" applyNumberFormat="1" applyFont="1" applyFill="1" applyBorder="1" applyAlignment="1" applyProtection="1">
      <alignment horizontal="left" vertical="center"/>
      <protection locked="0"/>
    </xf>
    <xf numFmtId="0" fontId="53" fillId="0" borderId="5" xfId="0" applyFont="1" applyBorder="1" applyAlignment="1" applyProtection="1">
      <alignment horizontal="left" vertical="top"/>
      <protection hidden="1"/>
    </xf>
    <xf numFmtId="0" fontId="53" fillId="4" borderId="0" xfId="0" applyFont="1" applyFill="1" applyBorder="1" applyAlignment="1" applyProtection="1">
      <alignment horizontal="left" vertical="center" wrapText="1"/>
      <protection hidden="1"/>
    </xf>
    <xf numFmtId="0" fontId="41" fillId="3" borderId="0" xfId="0" applyFont="1" applyFill="1" applyAlignment="1" applyProtection="1">
      <alignment horizontal="center" vertical="center"/>
      <protection hidden="1"/>
    </xf>
    <xf numFmtId="49" fontId="53" fillId="4" borderId="6" xfId="0" applyNumberFormat="1" applyFont="1" applyFill="1" applyBorder="1" applyAlignment="1" applyProtection="1">
      <alignment horizontal="left" vertical="center"/>
      <protection locked="0"/>
    </xf>
    <xf numFmtId="49" fontId="53" fillId="4" borderId="5" xfId="0" applyNumberFormat="1" applyFont="1" applyFill="1" applyBorder="1" applyAlignment="1" applyProtection="1">
      <alignment horizontal="left" vertical="center"/>
      <protection locked="0"/>
    </xf>
    <xf numFmtId="49" fontId="53" fillId="4" borderId="3" xfId="0" applyNumberFormat="1" applyFont="1" applyFill="1" applyBorder="1" applyAlignment="1" applyProtection="1">
      <alignment horizontal="left" vertical="center"/>
      <protection locked="0"/>
    </xf>
    <xf numFmtId="0" fontId="26" fillId="5" borderId="0" xfId="0" applyFont="1" applyFill="1" applyBorder="1" applyAlignment="1" applyProtection="1">
      <alignment horizontal="left" vertical="center"/>
      <protection hidden="1"/>
    </xf>
    <xf numFmtId="0" fontId="41" fillId="0" borderId="0" xfId="0" applyFont="1" applyAlignment="1" applyProtection="1">
      <alignment horizontal="center" vertical="center"/>
      <protection hidden="1"/>
    </xf>
    <xf numFmtId="0" fontId="53" fillId="32" borderId="38" xfId="0" applyFont="1" applyFill="1" applyBorder="1" applyAlignment="1" applyProtection="1">
      <alignment horizontal="center" vertical="center"/>
      <protection hidden="1"/>
    </xf>
    <xf numFmtId="0" fontId="53" fillId="32" borderId="75" xfId="0" applyFont="1" applyFill="1" applyBorder="1" applyAlignment="1" applyProtection="1">
      <alignment horizontal="center" vertical="center"/>
      <protection hidden="1"/>
    </xf>
    <xf numFmtId="0" fontId="53" fillId="32" borderId="67" xfId="0" applyFont="1" applyFill="1" applyBorder="1" applyAlignment="1" applyProtection="1">
      <alignment horizontal="center" vertical="center"/>
      <protection hidden="1"/>
    </xf>
    <xf numFmtId="0" fontId="7" fillId="0" borderId="80" xfId="0" applyFont="1" applyFill="1" applyBorder="1" applyAlignment="1" applyProtection="1">
      <alignment horizontal="left" vertical="center"/>
      <protection hidden="1"/>
    </xf>
    <xf numFmtId="0" fontId="7" fillId="0" borderId="111" xfId="0" applyFont="1" applyFill="1" applyBorder="1" applyAlignment="1" applyProtection="1">
      <alignment horizontal="left" vertical="center"/>
      <protection hidden="1"/>
    </xf>
    <xf numFmtId="0" fontId="7" fillId="0" borderId="112" xfId="0" applyFont="1" applyFill="1" applyBorder="1" applyAlignment="1" applyProtection="1">
      <alignment horizontal="left" vertical="center"/>
      <protection hidden="1"/>
    </xf>
    <xf numFmtId="0" fontId="7" fillId="0" borderId="113" xfId="0" applyFont="1" applyFill="1" applyBorder="1" applyAlignment="1" applyProtection="1">
      <alignment horizontal="left" vertical="center"/>
      <protection hidden="1"/>
    </xf>
    <xf numFmtId="0" fontId="7" fillId="0" borderId="89" xfId="0" applyFont="1" applyFill="1" applyBorder="1" applyAlignment="1" applyProtection="1">
      <alignment horizontal="center" vertical="center"/>
      <protection hidden="1"/>
    </xf>
    <xf numFmtId="0" fontId="7" fillId="0" borderId="90" xfId="0" applyFont="1" applyFill="1" applyBorder="1" applyAlignment="1" applyProtection="1">
      <alignment horizontal="center" vertical="center"/>
      <protection hidden="1"/>
    </xf>
    <xf numFmtId="0" fontId="7" fillId="0" borderId="91" xfId="0" applyFont="1" applyFill="1" applyBorder="1" applyAlignment="1" applyProtection="1">
      <alignment horizontal="center" vertical="center"/>
      <protection hidden="1"/>
    </xf>
    <xf numFmtId="0" fontId="6" fillId="0" borderId="113" xfId="0" applyFont="1" applyFill="1" applyBorder="1" applyAlignment="1" applyProtection="1">
      <alignment vertical="center"/>
      <protection hidden="1"/>
    </xf>
    <xf numFmtId="0" fontId="6" fillId="0" borderId="114" xfId="0" applyFont="1" applyFill="1" applyBorder="1" applyAlignment="1" applyProtection="1">
      <alignment vertical="center"/>
      <protection hidden="1"/>
    </xf>
    <xf numFmtId="0" fontId="6" fillId="0" borderId="111" xfId="0" applyFont="1" applyFill="1" applyBorder="1" applyAlignment="1" applyProtection="1">
      <alignment vertical="center"/>
      <protection hidden="1"/>
    </xf>
    <xf numFmtId="0" fontId="6" fillId="0" borderId="112" xfId="0" applyFont="1" applyFill="1" applyBorder="1" applyAlignment="1" applyProtection="1">
      <alignment vertical="center"/>
      <protection hidden="1"/>
    </xf>
    <xf numFmtId="0" fontId="0" fillId="0" borderId="78" xfId="0" applyFill="1" applyBorder="1" applyAlignment="1" applyProtection="1">
      <alignment horizontal="center"/>
      <protection hidden="1"/>
    </xf>
    <xf numFmtId="0" fontId="0" fillId="0" borderId="79"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32" xfId="0" applyFill="1" applyBorder="1" applyAlignment="1" applyProtection="1">
      <alignment horizontal="center"/>
      <protection hidden="1"/>
    </xf>
    <xf numFmtId="0" fontId="0" fillId="0" borderId="40" xfId="0" applyFill="1" applyBorder="1" applyAlignment="1" applyProtection="1">
      <alignment horizontal="center"/>
      <protection hidden="1"/>
    </xf>
    <xf numFmtId="0" fontId="0" fillId="0" borderId="41" xfId="0" applyFill="1" applyBorder="1" applyAlignment="1" applyProtection="1">
      <alignment horizontal="center"/>
      <protection hidden="1"/>
    </xf>
    <xf numFmtId="0" fontId="6" fillId="0" borderId="98" xfId="0" applyNumberFormat="1" applyFont="1" applyFill="1" applyBorder="1" applyAlignment="1" applyProtection="1">
      <alignment horizontal="left" vertical="center"/>
      <protection hidden="1"/>
    </xf>
    <xf numFmtId="0" fontId="6" fillId="0" borderId="66" xfId="0" applyNumberFormat="1" applyFont="1" applyFill="1" applyBorder="1" applyAlignment="1" applyProtection="1">
      <alignment horizontal="left" vertical="center"/>
      <protection hidden="1"/>
    </xf>
    <xf numFmtId="0" fontId="6" fillId="0" borderId="99" xfId="0" applyNumberFormat="1" applyFont="1" applyFill="1" applyBorder="1" applyAlignment="1" applyProtection="1">
      <alignment horizontal="left" vertical="center"/>
      <protection hidden="1"/>
    </xf>
    <xf numFmtId="0" fontId="6" fillId="0" borderId="101" xfId="0" applyFont="1" applyFill="1" applyBorder="1" applyAlignment="1" applyProtection="1">
      <alignment horizontal="left" vertical="center"/>
      <protection hidden="1"/>
    </xf>
    <xf numFmtId="0" fontId="6" fillId="0" borderId="115" xfId="0" applyFont="1" applyFill="1" applyBorder="1" applyAlignment="1" applyProtection="1">
      <alignment horizontal="left" vertical="center"/>
      <protection hidden="1"/>
    </xf>
    <xf numFmtId="0" fontId="6" fillId="0" borderId="42" xfId="0" applyNumberFormat="1" applyFont="1" applyFill="1" applyBorder="1" applyAlignment="1" applyProtection="1">
      <alignment horizontal="left" vertical="center"/>
      <protection hidden="1"/>
    </xf>
    <xf numFmtId="0" fontId="6" fillId="0" borderId="43" xfId="0" applyNumberFormat="1" applyFont="1" applyFill="1" applyBorder="1" applyAlignment="1" applyProtection="1">
      <alignment horizontal="left" vertical="center"/>
      <protection hidden="1"/>
    </xf>
    <xf numFmtId="0" fontId="6" fillId="0" borderId="44" xfId="0" applyNumberFormat="1" applyFont="1" applyFill="1" applyBorder="1" applyAlignment="1" applyProtection="1">
      <alignment horizontal="left" vertical="center"/>
      <protection hidden="1"/>
    </xf>
    <xf numFmtId="0" fontId="6" fillId="0" borderId="18" xfId="0" applyFont="1" applyFill="1" applyBorder="1" applyAlignment="1" applyProtection="1">
      <alignment vertical="center"/>
      <protection hidden="1"/>
    </xf>
    <xf numFmtId="0" fontId="6" fillId="0" borderId="14" xfId="0" applyFont="1" applyFill="1" applyBorder="1" applyAlignment="1" applyProtection="1">
      <alignment vertical="center"/>
      <protection hidden="1"/>
    </xf>
    <xf numFmtId="0" fontId="6" fillId="0" borderId="87" xfId="0" applyFont="1" applyFill="1" applyBorder="1" applyAlignment="1" applyProtection="1">
      <alignment vertical="center"/>
      <protection hidden="1"/>
    </xf>
    <xf numFmtId="0" fontId="7" fillId="0" borderId="23" xfId="0" applyFont="1" applyFill="1" applyBorder="1" applyAlignment="1" applyProtection="1">
      <alignment horizontal="center" vertical="center"/>
      <protection hidden="1"/>
    </xf>
    <xf numFmtId="0" fontId="7" fillId="0" borderId="66" xfId="0" applyFont="1" applyFill="1" applyBorder="1" applyAlignment="1" applyProtection="1">
      <alignment horizontal="center" vertical="center"/>
      <protection hidden="1"/>
    </xf>
    <xf numFmtId="0" fontId="7" fillId="0" borderId="99" xfId="0" applyFont="1" applyFill="1" applyBorder="1" applyAlignment="1" applyProtection="1">
      <alignment horizontal="center" vertical="center"/>
      <protection hidden="1"/>
    </xf>
    <xf numFmtId="0" fontId="6" fillId="0" borderId="86" xfId="0" applyFont="1" applyFill="1" applyBorder="1" applyAlignment="1" applyProtection="1">
      <alignment vertical="center"/>
      <protection hidden="1"/>
    </xf>
    <xf numFmtId="49" fontId="6" fillId="0" borderId="86" xfId="0" applyNumberFormat="1" applyFont="1" applyFill="1" applyBorder="1" applyAlignment="1" applyProtection="1">
      <alignment vertical="center"/>
      <protection hidden="1"/>
    </xf>
    <xf numFmtId="49" fontId="6" fillId="0" borderId="14" xfId="0" applyNumberFormat="1" applyFont="1" applyFill="1" applyBorder="1" applyAlignment="1" applyProtection="1">
      <alignment vertical="center"/>
      <protection hidden="1"/>
    </xf>
    <xf numFmtId="49" fontId="6" fillId="0" borderId="87" xfId="0" applyNumberFormat="1" applyFont="1" applyFill="1" applyBorder="1" applyAlignment="1" applyProtection="1">
      <alignment vertical="center"/>
      <protection hidden="1"/>
    </xf>
    <xf numFmtId="0" fontId="6" fillId="0" borderId="86" xfId="0" applyFont="1" applyFill="1" applyBorder="1" applyAlignment="1" applyProtection="1">
      <alignment vertical="center" shrinkToFit="1"/>
      <protection hidden="1"/>
    </xf>
    <xf numFmtId="0" fontId="6" fillId="0" borderId="14" xfId="0" applyFont="1" applyFill="1" applyBorder="1" applyAlignment="1" applyProtection="1">
      <alignment vertical="center" shrinkToFit="1"/>
      <protection hidden="1"/>
    </xf>
    <xf numFmtId="0" fontId="6" fillId="0" borderId="87" xfId="0" applyFont="1" applyFill="1" applyBorder="1" applyAlignment="1" applyProtection="1">
      <alignment vertical="center" shrinkToFit="1"/>
      <protection hidden="1"/>
    </xf>
    <xf numFmtId="0" fontId="0" fillId="0" borderId="101" xfId="0" applyFill="1" applyBorder="1" applyAlignment="1" applyProtection="1">
      <protection hidden="1"/>
    </xf>
    <xf numFmtId="0" fontId="0" fillId="0" borderId="94" xfId="0" applyFill="1" applyBorder="1" applyAlignment="1" applyProtection="1">
      <protection hidden="1"/>
    </xf>
    <xf numFmtId="0" fontId="0" fillId="0" borderId="95" xfId="0" applyFill="1" applyBorder="1" applyAlignment="1" applyProtection="1">
      <protection hidden="1"/>
    </xf>
    <xf numFmtId="0" fontId="0" fillId="0" borderId="38" xfId="0" applyFill="1" applyBorder="1" applyAlignment="1" applyProtection="1">
      <protection hidden="1"/>
    </xf>
    <xf numFmtId="0" fontId="0" fillId="0" borderId="75" xfId="0" applyFill="1" applyBorder="1" applyAlignment="1" applyProtection="1">
      <protection hidden="1"/>
    </xf>
    <xf numFmtId="0" fontId="0" fillId="0" borderId="107" xfId="0" applyFill="1" applyBorder="1" applyAlignment="1" applyProtection="1">
      <protection hidden="1"/>
    </xf>
    <xf numFmtId="0" fontId="6" fillId="0" borderId="86" xfId="0" applyNumberFormat="1" applyFont="1" applyFill="1" applyBorder="1" applyAlignment="1" applyProtection="1">
      <alignment vertical="center"/>
      <protection hidden="1"/>
    </xf>
    <xf numFmtId="0" fontId="6" fillId="0" borderId="14" xfId="0" applyNumberFormat="1" applyFont="1" applyFill="1" applyBorder="1" applyAlignment="1" applyProtection="1">
      <alignment vertical="center"/>
      <protection hidden="1"/>
    </xf>
    <xf numFmtId="0" fontId="6" fillId="0" borderId="87" xfId="0" applyNumberFormat="1" applyFont="1" applyFill="1" applyBorder="1" applyAlignment="1" applyProtection="1">
      <alignment vertical="center"/>
      <protection hidden="1"/>
    </xf>
    <xf numFmtId="49" fontId="6" fillId="0" borderId="86" xfId="0" applyNumberFormat="1" applyFont="1" applyFill="1" applyBorder="1" applyAlignment="1" applyProtection="1">
      <alignment horizontal="left" vertical="center"/>
      <protection hidden="1"/>
    </xf>
    <xf numFmtId="49" fontId="6" fillId="0" borderId="14" xfId="0" applyNumberFormat="1" applyFont="1" applyFill="1" applyBorder="1" applyAlignment="1" applyProtection="1">
      <alignment horizontal="left" vertical="center"/>
      <protection hidden="1"/>
    </xf>
    <xf numFmtId="49" fontId="6" fillId="0" borderId="87" xfId="0" applyNumberFormat="1" applyFont="1" applyFill="1" applyBorder="1" applyAlignment="1" applyProtection="1">
      <alignment horizontal="left" vertical="center"/>
      <protection hidden="1"/>
    </xf>
    <xf numFmtId="0" fontId="6" fillId="0" borderId="86" xfId="0" applyNumberFormat="1" applyFont="1" applyFill="1" applyBorder="1" applyAlignment="1" applyProtection="1">
      <alignment horizontal="left" vertical="center"/>
      <protection hidden="1"/>
    </xf>
    <xf numFmtId="0" fontId="6" fillId="0" borderId="14" xfId="0" applyNumberFormat="1" applyFont="1" applyFill="1" applyBorder="1" applyAlignment="1" applyProtection="1">
      <alignment horizontal="left" vertical="center"/>
      <protection hidden="1"/>
    </xf>
    <xf numFmtId="0" fontId="6" fillId="0" borderId="87" xfId="0" applyNumberFormat="1" applyFont="1" applyFill="1" applyBorder="1" applyAlignment="1" applyProtection="1">
      <alignment horizontal="left" vertical="center"/>
      <protection hidden="1"/>
    </xf>
    <xf numFmtId="0" fontId="6" fillId="0" borderId="71" xfId="0" applyNumberFormat="1" applyFont="1" applyFill="1" applyBorder="1" applyAlignment="1" applyProtection="1">
      <alignment horizontal="left" vertical="top" wrapText="1"/>
      <protection hidden="1"/>
    </xf>
    <xf numFmtId="0" fontId="6" fillId="0" borderId="72" xfId="0" applyNumberFormat="1" applyFont="1" applyFill="1" applyBorder="1" applyAlignment="1" applyProtection="1">
      <alignment horizontal="left" vertical="top" wrapText="1"/>
      <protection hidden="1"/>
    </xf>
    <xf numFmtId="0" fontId="6" fillId="0" borderId="73" xfId="0" applyNumberFormat="1" applyFont="1" applyFill="1" applyBorder="1" applyAlignment="1" applyProtection="1">
      <alignment horizontal="left" vertical="top" wrapText="1"/>
      <protection hidden="1"/>
    </xf>
    <xf numFmtId="0" fontId="6" fillId="0" borderId="16" xfId="0" applyNumberFormat="1" applyFont="1" applyFill="1" applyBorder="1" applyAlignment="1" applyProtection="1">
      <alignment horizontal="left" vertical="top" wrapText="1"/>
      <protection hidden="1"/>
    </xf>
    <xf numFmtId="0" fontId="6" fillId="0" borderId="0" xfId="0" applyNumberFormat="1" applyFont="1" applyFill="1" applyBorder="1" applyAlignment="1" applyProtection="1">
      <alignment horizontal="left" vertical="top" wrapText="1"/>
      <protection hidden="1"/>
    </xf>
    <xf numFmtId="0" fontId="6" fillId="0" borderId="32" xfId="0" applyNumberFormat="1" applyFont="1" applyFill="1" applyBorder="1" applyAlignment="1" applyProtection="1">
      <alignment horizontal="left" vertical="top" wrapText="1"/>
      <protection hidden="1"/>
    </xf>
    <xf numFmtId="0" fontId="6" fillId="0" borderId="116" xfId="0" applyNumberFormat="1" applyFont="1" applyFill="1" applyBorder="1" applyAlignment="1" applyProtection="1">
      <alignment horizontal="left" vertical="top" wrapText="1"/>
      <protection hidden="1"/>
    </xf>
    <xf numFmtId="0" fontId="6" fillId="0" borderId="25" xfId="0" applyNumberFormat="1" applyFont="1" applyFill="1" applyBorder="1" applyAlignment="1" applyProtection="1">
      <alignment horizontal="left" vertical="top" wrapText="1"/>
      <protection hidden="1"/>
    </xf>
    <xf numFmtId="0" fontId="6" fillId="0" borderId="117" xfId="0" applyNumberFormat="1" applyFont="1" applyFill="1" applyBorder="1" applyAlignment="1" applyProtection="1">
      <alignment horizontal="left" vertical="top" wrapText="1"/>
      <protection hidden="1"/>
    </xf>
    <xf numFmtId="0" fontId="6" fillId="0" borderId="18" xfId="0" applyFont="1" applyFill="1" applyBorder="1" applyAlignment="1" applyProtection="1">
      <protection hidden="1"/>
    </xf>
    <xf numFmtId="0" fontId="6" fillId="0" borderId="14" xfId="0" applyFont="1" applyFill="1" applyBorder="1" applyAlignment="1" applyProtection="1">
      <protection hidden="1"/>
    </xf>
    <xf numFmtId="0" fontId="6" fillId="0" borderId="87" xfId="0" applyFont="1" applyFill="1" applyBorder="1" applyAlignment="1" applyProtection="1">
      <protection hidden="1"/>
    </xf>
    <xf numFmtId="0" fontId="6" fillId="0" borderId="110" xfId="0" applyNumberFormat="1" applyFont="1" applyFill="1" applyBorder="1" applyAlignment="1" applyProtection="1">
      <alignment horizontal="left" vertical="center"/>
      <protection hidden="1"/>
    </xf>
    <xf numFmtId="0" fontId="6" fillId="0" borderId="75" xfId="0" applyNumberFormat="1" applyFont="1" applyFill="1" applyBorder="1" applyAlignment="1" applyProtection="1">
      <alignment horizontal="left" vertical="center"/>
      <protection hidden="1"/>
    </xf>
    <xf numFmtId="0" fontId="6" fillId="0" borderId="107" xfId="0" applyNumberFormat="1" applyFont="1" applyFill="1" applyBorder="1" applyAlignment="1" applyProtection="1">
      <alignment horizontal="left" vertical="center"/>
      <protection hidden="1"/>
    </xf>
    <xf numFmtId="2" fontId="6" fillId="0" borderId="86" xfId="0" applyNumberFormat="1" applyFont="1" applyFill="1" applyBorder="1" applyAlignment="1" applyProtection="1">
      <alignment horizontal="left" vertical="center"/>
      <protection hidden="1"/>
    </xf>
    <xf numFmtId="2" fontId="6" fillId="0" borderId="14" xfId="0" applyNumberFormat="1" applyFont="1" applyFill="1" applyBorder="1" applyAlignment="1" applyProtection="1">
      <alignment horizontal="left" vertical="center"/>
      <protection hidden="1"/>
    </xf>
    <xf numFmtId="2" fontId="6" fillId="0" borderId="87" xfId="0" applyNumberFormat="1" applyFont="1" applyFill="1" applyBorder="1" applyAlignment="1" applyProtection="1">
      <alignment horizontal="left" vertical="center"/>
      <protection hidden="1"/>
    </xf>
    <xf numFmtId="0" fontId="6" fillId="0" borderId="101" xfId="0" applyFont="1" applyFill="1" applyBorder="1" applyAlignment="1" applyProtection="1">
      <alignment vertical="center"/>
      <protection hidden="1"/>
    </xf>
    <xf numFmtId="0" fontId="6" fillId="0" borderId="94" xfId="0" applyFont="1" applyFill="1" applyBorder="1" applyAlignment="1" applyProtection="1">
      <alignment vertical="center"/>
      <protection hidden="1"/>
    </xf>
    <xf numFmtId="0" fontId="6" fillId="0" borderId="95" xfId="0" applyFont="1" applyFill="1" applyBorder="1" applyAlignment="1" applyProtection="1">
      <alignment vertical="center"/>
      <protection hidden="1"/>
    </xf>
    <xf numFmtId="0" fontId="6" fillId="0" borderId="86"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6" fillId="0" borderId="87" xfId="0" applyFont="1" applyFill="1" applyBorder="1" applyAlignment="1" applyProtection="1">
      <alignment horizontal="left" vertical="center"/>
      <protection hidden="1"/>
    </xf>
    <xf numFmtId="3" fontId="6" fillId="0" borderId="86" xfId="0" applyNumberFormat="1" applyFont="1" applyFill="1" applyBorder="1" applyAlignment="1" applyProtection="1">
      <alignment horizontal="left" vertical="center"/>
      <protection hidden="1"/>
    </xf>
    <xf numFmtId="3" fontId="6" fillId="0" borderId="14" xfId="0" applyNumberFormat="1" applyFont="1" applyFill="1" applyBorder="1" applyAlignment="1" applyProtection="1">
      <alignment horizontal="left" vertical="center"/>
      <protection hidden="1"/>
    </xf>
    <xf numFmtId="3" fontId="6" fillId="0" borderId="87" xfId="0" applyNumberFormat="1" applyFont="1" applyFill="1" applyBorder="1" applyAlignment="1" applyProtection="1">
      <alignment horizontal="left" vertical="center"/>
      <protection hidden="1"/>
    </xf>
    <xf numFmtId="0" fontId="6" fillId="0" borderId="103" xfId="0" applyFont="1" applyFill="1" applyBorder="1" applyAlignment="1" applyProtection="1">
      <alignment horizontal="center"/>
      <protection hidden="1"/>
    </xf>
    <xf numFmtId="0" fontId="6" fillId="0" borderId="104" xfId="0" applyFont="1" applyFill="1" applyBorder="1" applyAlignment="1" applyProtection="1">
      <alignment horizontal="center"/>
      <protection hidden="1"/>
    </xf>
    <xf numFmtId="0" fontId="7" fillId="0" borderId="85" xfId="0" applyFont="1" applyFill="1" applyBorder="1" applyAlignment="1" applyProtection="1">
      <alignment horizontal="center"/>
      <protection locked="0" hidden="1"/>
    </xf>
    <xf numFmtId="0" fontId="7" fillId="0" borderId="105" xfId="0" applyFont="1" applyFill="1" applyBorder="1" applyAlignment="1" applyProtection="1">
      <alignment horizontal="center"/>
      <protection locked="0" hidden="1"/>
    </xf>
    <xf numFmtId="0" fontId="7" fillId="0" borderId="106" xfId="0" applyFont="1" applyFill="1" applyBorder="1" applyAlignment="1" applyProtection="1">
      <alignment horizontal="center"/>
      <protection locked="0" hidden="1"/>
    </xf>
    <xf numFmtId="0" fontId="7" fillId="0" borderId="38" xfId="0" applyFont="1" applyFill="1" applyBorder="1" applyAlignment="1" applyProtection="1">
      <alignment horizontal="center" wrapText="1"/>
      <protection locked="0" hidden="1"/>
    </xf>
    <xf numFmtId="0" fontId="7" fillId="0" borderId="75" xfId="0" applyFont="1" applyFill="1" applyBorder="1" applyAlignment="1" applyProtection="1">
      <alignment horizontal="center" wrapText="1"/>
      <protection locked="0" hidden="1"/>
    </xf>
    <xf numFmtId="0" fontId="7" fillId="0" borderId="107" xfId="0" applyFont="1" applyFill="1" applyBorder="1" applyAlignment="1" applyProtection="1">
      <alignment horizontal="center" wrapText="1"/>
      <protection locked="0" hidden="1"/>
    </xf>
    <xf numFmtId="0" fontId="6" fillId="0" borderId="65" xfId="0" applyFont="1" applyFill="1" applyBorder="1" applyAlignment="1" applyProtection="1">
      <alignment horizontal="center"/>
      <protection hidden="1"/>
    </xf>
    <xf numFmtId="0" fontId="6" fillId="0" borderId="96" xfId="0" applyFont="1" applyFill="1" applyBorder="1" applyAlignment="1" applyProtection="1">
      <alignment horizontal="center"/>
      <protection hidden="1"/>
    </xf>
    <xf numFmtId="0" fontId="6" fillId="0" borderId="97" xfId="0" applyFont="1" applyFill="1" applyBorder="1" applyAlignment="1" applyProtection="1">
      <alignment horizontal="center"/>
      <protection hidden="1"/>
    </xf>
    <xf numFmtId="0" fontId="6" fillId="0" borderId="108" xfId="0" applyFont="1" applyFill="1" applyBorder="1" applyAlignment="1" applyProtection="1">
      <alignment horizontal="center"/>
      <protection hidden="1"/>
    </xf>
    <xf numFmtId="0" fontId="6" fillId="0" borderId="109" xfId="0" applyFont="1" applyFill="1" applyBorder="1" applyAlignment="1" applyProtection="1">
      <alignment horizontal="center"/>
      <protection hidden="1"/>
    </xf>
    <xf numFmtId="0" fontId="0" fillId="0" borderId="65" xfId="0" applyFill="1" applyBorder="1" applyAlignment="1" applyProtection="1">
      <protection hidden="1"/>
    </xf>
    <xf numFmtId="0" fontId="0" fillId="0" borderId="96" xfId="0" applyFill="1" applyBorder="1" applyAlignment="1" applyProtection="1">
      <protection hidden="1"/>
    </xf>
    <xf numFmtId="0" fontId="0" fillId="0" borderId="97" xfId="0" applyFill="1" applyBorder="1" applyAlignment="1" applyProtection="1">
      <protection hidden="1"/>
    </xf>
    <xf numFmtId="0" fontId="6" fillId="0" borderId="98" xfId="0" applyFont="1" applyFill="1" applyBorder="1" applyAlignment="1" applyProtection="1">
      <alignment horizontal="left" vertical="center"/>
      <protection hidden="1"/>
    </xf>
    <xf numFmtId="0" fontId="6" fillId="0" borderId="66" xfId="0" applyFont="1" applyFill="1" applyBorder="1" applyAlignment="1" applyProtection="1">
      <alignment horizontal="left" vertical="center"/>
      <protection hidden="1"/>
    </xf>
    <xf numFmtId="0" fontId="6" fillId="0" borderId="99" xfId="0" applyFont="1" applyFill="1" applyBorder="1" applyAlignment="1" applyProtection="1">
      <alignment horizontal="left" vertical="center"/>
      <protection hidden="1"/>
    </xf>
    <xf numFmtId="3" fontId="6" fillId="0" borderId="42" xfId="0" applyNumberFormat="1" applyFont="1" applyFill="1" applyBorder="1" applyAlignment="1" applyProtection="1">
      <alignment horizontal="left" vertical="center"/>
      <protection hidden="1"/>
    </xf>
    <xf numFmtId="3" fontId="6" fillId="0" borderId="43" xfId="0" applyNumberFormat="1" applyFont="1" applyFill="1" applyBorder="1" applyAlignment="1" applyProtection="1">
      <alignment horizontal="left" vertical="center"/>
      <protection hidden="1"/>
    </xf>
    <xf numFmtId="3" fontId="6" fillId="0" borderId="44" xfId="0" applyNumberFormat="1" applyFont="1" applyFill="1" applyBorder="1" applyAlignment="1" applyProtection="1">
      <alignment horizontal="left" vertical="center"/>
      <protection hidden="1"/>
    </xf>
    <xf numFmtId="0" fontId="0" fillId="0" borderId="69" xfId="0" applyFill="1" applyBorder="1" applyAlignment="1" applyProtection="1">
      <protection hidden="1"/>
    </xf>
    <xf numFmtId="0" fontId="0" fillId="0" borderId="72" xfId="0" applyFill="1" applyBorder="1" applyAlignment="1" applyProtection="1">
      <protection hidden="1"/>
    </xf>
    <xf numFmtId="0" fontId="0" fillId="0" borderId="73" xfId="0" applyFill="1" applyBorder="1" applyAlignment="1" applyProtection="1">
      <protection hidden="1"/>
    </xf>
    <xf numFmtId="0" fontId="6" fillId="0" borderId="102" xfId="0" applyNumberFormat="1" applyFont="1" applyFill="1" applyBorder="1" applyAlignment="1" applyProtection="1">
      <alignment horizontal="left" vertical="center"/>
      <protection hidden="1"/>
    </xf>
    <xf numFmtId="0" fontId="6" fillId="0" borderId="94" xfId="0" applyNumberFormat="1" applyFont="1" applyFill="1" applyBorder="1" applyAlignment="1" applyProtection="1">
      <alignment horizontal="left" vertical="center"/>
      <protection hidden="1"/>
    </xf>
    <xf numFmtId="0" fontId="6" fillId="0" borderId="95" xfId="0" applyNumberFormat="1" applyFont="1" applyFill="1" applyBorder="1" applyAlignment="1" applyProtection="1">
      <alignment horizontal="left" vertical="center"/>
      <protection hidden="1"/>
    </xf>
    <xf numFmtId="1" fontId="6" fillId="0" borderId="86" xfId="0" applyNumberFormat="1" applyFont="1" applyFill="1" applyBorder="1" applyAlignment="1" applyProtection="1">
      <alignment horizontal="left" vertical="center"/>
      <protection hidden="1"/>
    </xf>
    <xf numFmtId="1" fontId="6" fillId="0" borderId="14" xfId="0" applyNumberFormat="1" applyFont="1" applyFill="1" applyBorder="1" applyAlignment="1" applyProtection="1">
      <alignment horizontal="left" vertical="center"/>
      <protection hidden="1"/>
    </xf>
    <xf numFmtId="1" fontId="6" fillId="0" borderId="87" xfId="0" applyNumberFormat="1" applyFont="1" applyFill="1" applyBorder="1" applyAlignment="1" applyProtection="1">
      <alignment horizontal="left" vertical="center"/>
      <protection hidden="1"/>
    </xf>
    <xf numFmtId="0" fontId="6" fillId="0" borderId="15" xfId="0" applyFont="1" applyFill="1" applyBorder="1" applyAlignment="1" applyProtection="1">
      <alignment vertical="center"/>
      <protection hidden="1"/>
    </xf>
    <xf numFmtId="0" fontId="6" fillId="0" borderId="102" xfId="0" applyFont="1" applyFill="1" applyBorder="1" applyAlignment="1" applyProtection="1">
      <alignment horizontal="left" vertical="center" shrinkToFit="1"/>
      <protection hidden="1"/>
    </xf>
    <xf numFmtId="0" fontId="6" fillId="0" borderId="94" xfId="0" applyFont="1" applyFill="1" applyBorder="1" applyAlignment="1" applyProtection="1">
      <alignment horizontal="left" vertical="center" shrinkToFit="1"/>
      <protection hidden="1"/>
    </xf>
    <xf numFmtId="0" fontId="6" fillId="0" borderId="95" xfId="0" applyFont="1" applyFill="1" applyBorder="1" applyAlignment="1" applyProtection="1">
      <alignment horizontal="left" vertical="center" shrinkToFit="1"/>
      <protection hidden="1"/>
    </xf>
    <xf numFmtId="0" fontId="6" fillId="0" borderId="86" xfId="0" applyNumberFormat="1" applyFont="1" applyFill="1" applyBorder="1" applyAlignment="1" applyProtection="1">
      <alignment horizontal="left" vertical="center" shrinkToFit="1"/>
      <protection hidden="1"/>
    </xf>
    <xf numFmtId="0" fontId="6" fillId="0" borderId="14" xfId="0" applyNumberFormat="1" applyFont="1" applyFill="1" applyBorder="1" applyAlignment="1" applyProtection="1">
      <alignment horizontal="left" vertical="center" shrinkToFit="1"/>
      <protection hidden="1"/>
    </xf>
    <xf numFmtId="0" fontId="6" fillId="0" borderId="87" xfId="0" applyNumberFormat="1" applyFont="1" applyFill="1" applyBorder="1" applyAlignment="1" applyProtection="1">
      <alignment horizontal="left" vertical="center" shrinkToFit="1"/>
      <protection hidden="1"/>
    </xf>
    <xf numFmtId="0" fontId="6" fillId="0" borderId="29" xfId="0" applyFont="1" applyFill="1" applyBorder="1" applyAlignment="1" applyProtection="1">
      <alignment vertical="center"/>
      <protection hidden="1"/>
    </xf>
    <xf numFmtId="0" fontId="6" fillId="0" borderId="88" xfId="0" applyFont="1" applyFill="1" applyBorder="1" applyAlignment="1" applyProtection="1">
      <alignment vertical="center"/>
      <protection hidden="1"/>
    </xf>
    <xf numFmtId="0" fontId="6" fillId="0" borderId="86"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87" xfId="0" applyFont="1" applyFill="1" applyBorder="1" applyAlignment="1" applyProtection="1">
      <alignment horizontal="left"/>
      <protection hidden="1"/>
    </xf>
    <xf numFmtId="0" fontId="6" fillId="0" borderId="92" xfId="0" applyFont="1" applyFill="1" applyBorder="1" applyAlignment="1" applyProtection="1">
      <alignment horizontal="center"/>
      <protection hidden="1"/>
    </xf>
    <xf numFmtId="0" fontId="6" fillId="0" borderId="67" xfId="0" applyFont="1" applyFill="1" applyBorder="1" applyAlignment="1" applyProtection="1">
      <alignment horizontal="center"/>
      <protection hidden="1"/>
    </xf>
    <xf numFmtId="0" fontId="6" fillId="0" borderId="39" xfId="0" applyFont="1" applyFill="1" applyBorder="1" applyAlignment="1" applyProtection="1">
      <alignment horizontal="center" vertical="center" wrapText="1" shrinkToFit="1"/>
      <protection hidden="1"/>
    </xf>
    <xf numFmtId="0" fontId="6" fillId="0" borderId="40" xfId="0" applyFont="1" applyFill="1" applyBorder="1" applyAlignment="1" applyProtection="1">
      <alignment horizontal="center" vertical="center" wrapText="1" shrinkToFit="1"/>
      <protection hidden="1"/>
    </xf>
    <xf numFmtId="0" fontId="6" fillId="0" borderId="41" xfId="0" applyFont="1" applyFill="1" applyBorder="1" applyAlignment="1" applyProtection="1">
      <alignment horizontal="center" vertical="center" wrapText="1" shrinkToFit="1"/>
      <protection hidden="1"/>
    </xf>
    <xf numFmtId="0" fontId="6" fillId="0" borderId="93" xfId="0" applyFont="1" applyFill="1" applyBorder="1" applyAlignment="1" applyProtection="1">
      <alignment horizontal="center" vertical="center" wrapText="1"/>
      <protection hidden="1"/>
    </xf>
    <xf numFmtId="0" fontId="6" fillId="0" borderId="94" xfId="0" applyFont="1" applyFill="1" applyBorder="1" applyAlignment="1" applyProtection="1">
      <alignment horizontal="center" vertical="center" wrapText="1"/>
      <protection hidden="1"/>
    </xf>
    <xf numFmtId="0" fontId="6" fillId="0" borderId="95" xfId="0" applyFont="1" applyFill="1" applyBorder="1" applyAlignment="1" applyProtection="1">
      <alignment horizontal="center" vertical="center" wrapText="1"/>
      <protection hidden="1"/>
    </xf>
    <xf numFmtId="0" fontId="6" fillId="0" borderId="58" xfId="0" applyFont="1" applyFill="1" applyBorder="1" applyAlignment="1" applyProtection="1">
      <alignment horizontal="center" vertical="center" wrapText="1" shrinkToFit="1"/>
      <protection hidden="1"/>
    </xf>
    <xf numFmtId="0" fontId="6" fillId="0" borderId="14" xfId="0" applyFont="1" applyFill="1" applyBorder="1" applyAlignment="1" applyProtection="1">
      <alignment horizontal="center" vertical="center" wrapText="1" shrinkToFit="1"/>
      <protection hidden="1"/>
    </xf>
    <xf numFmtId="0" fontId="6" fillId="0" borderId="87" xfId="0" applyFont="1" applyFill="1" applyBorder="1" applyAlignment="1" applyProtection="1">
      <alignment horizontal="center" vertical="center" wrapText="1" shrinkToFit="1"/>
      <protection hidden="1"/>
    </xf>
    <xf numFmtId="0" fontId="0" fillId="0" borderId="93" xfId="0" applyFill="1" applyBorder="1" applyAlignment="1" applyProtection="1">
      <alignment horizontal="center"/>
      <protection hidden="1"/>
    </xf>
    <xf numFmtId="0" fontId="0" fillId="0" borderId="94" xfId="0" applyFill="1" applyBorder="1" applyAlignment="1" applyProtection="1">
      <alignment horizontal="center"/>
      <protection hidden="1"/>
    </xf>
    <xf numFmtId="0" fontId="0" fillId="0" borderId="95" xfId="0" applyFill="1" applyBorder="1" applyAlignment="1" applyProtection="1">
      <alignment horizontal="center"/>
      <protection hidden="1"/>
    </xf>
    <xf numFmtId="0" fontId="7" fillId="0" borderId="100" xfId="0" applyFont="1" applyFill="1" applyBorder="1" applyAlignment="1" applyProtection="1">
      <alignment horizontal="center" vertical="center"/>
      <protection hidden="1"/>
    </xf>
    <xf numFmtId="0" fontId="6" fillId="0" borderId="101" xfId="0" applyFont="1" applyFill="1" applyBorder="1" applyAlignment="1" applyProtection="1">
      <protection hidden="1"/>
    </xf>
    <xf numFmtId="0" fontId="6" fillId="0" borderId="94" xfId="0" applyFont="1" applyFill="1" applyBorder="1" applyAlignment="1" applyProtection="1">
      <protection hidden="1"/>
    </xf>
    <xf numFmtId="0" fontId="6" fillId="0" borderId="95" xfId="0" applyFont="1" applyFill="1" applyBorder="1" applyAlignment="1" applyProtection="1">
      <protection hidden="1"/>
    </xf>
    <xf numFmtId="0" fontId="6" fillId="0" borderId="83" xfId="0" applyFont="1" applyFill="1" applyBorder="1" applyAlignment="1" applyProtection="1">
      <alignment horizontal="center" vertical="center"/>
      <protection hidden="1"/>
    </xf>
    <xf numFmtId="0" fontId="6" fillId="0" borderId="78" xfId="0" applyFont="1" applyFill="1" applyBorder="1" applyAlignment="1" applyProtection="1">
      <alignment horizontal="center" vertical="center"/>
      <protection hidden="1"/>
    </xf>
    <xf numFmtId="0" fontId="6" fillId="0" borderId="79" xfId="0" applyFont="1" applyFill="1" applyBorder="1" applyAlignment="1" applyProtection="1">
      <alignment horizontal="center" vertical="center"/>
      <protection hidden="1"/>
    </xf>
    <xf numFmtId="0" fontId="6" fillId="0" borderId="100" xfId="0" applyFont="1" applyFill="1" applyBorder="1" applyAlignment="1" applyProtection="1">
      <alignment horizontal="center" vertical="center"/>
      <protection hidden="1"/>
    </xf>
    <xf numFmtId="0" fontId="6" fillId="0" borderId="90" xfId="0" applyFont="1" applyFill="1" applyBorder="1" applyAlignment="1" applyProtection="1">
      <alignment horizontal="center" vertical="center"/>
      <protection hidden="1"/>
    </xf>
    <xf numFmtId="0" fontId="6" fillId="0" borderId="91" xfId="0" applyFont="1" applyFill="1" applyBorder="1" applyAlignment="1" applyProtection="1">
      <alignment horizontal="center" vertical="center"/>
      <protection hidden="1"/>
    </xf>
    <xf numFmtId="49" fontId="12" fillId="7" borderId="6" xfId="0" applyNumberFormat="1" applyFont="1" applyFill="1" applyBorder="1" applyAlignment="1">
      <alignment horizontal="center" vertical="center" textRotation="90" wrapText="1"/>
    </xf>
    <xf numFmtId="49" fontId="12" fillId="7" borderId="7" xfId="0" applyNumberFormat="1" applyFont="1" applyFill="1" applyBorder="1" applyAlignment="1">
      <alignment horizontal="center" vertical="center" textRotation="90" wrapText="1"/>
    </xf>
    <xf numFmtId="49" fontId="12" fillId="7" borderId="8" xfId="0" applyNumberFormat="1" applyFont="1" applyFill="1" applyBorder="1" applyAlignment="1">
      <alignment horizontal="center" vertical="center" textRotation="90" wrapText="1"/>
    </xf>
    <xf numFmtId="0" fontId="5" fillId="0" borderId="37" xfId="0" applyFont="1" applyBorder="1" applyAlignment="1">
      <alignment horizontal="center"/>
    </xf>
    <xf numFmtId="0" fontId="4" fillId="0" borderId="0" xfId="0" applyFont="1" applyAlignment="1">
      <alignment horizontal="center"/>
    </xf>
    <xf numFmtId="0" fontId="62" fillId="0" borderId="37" xfId="0" applyNumberFormat="1" applyFont="1" applyFill="1" applyBorder="1" applyAlignment="1">
      <alignment horizontal="justify" vertical="center" wrapText="1"/>
    </xf>
    <xf numFmtId="0" fontId="53" fillId="0" borderId="0" xfId="0" applyFont="1" applyFill="1" applyBorder="1" applyAlignment="1" applyProtection="1">
      <alignment vertical="center" wrapText="1"/>
      <protection hidden="1"/>
    </xf>
    <xf numFmtId="0" fontId="53" fillId="5" borderId="37" xfId="0" applyFont="1" applyFill="1" applyBorder="1" applyAlignment="1" applyProtection="1">
      <alignment horizontal="left" vertical="center" wrapText="1"/>
      <protection hidden="1"/>
    </xf>
    <xf numFmtId="0" fontId="53" fillId="0" borderId="0" xfId="0" applyFont="1" applyFill="1" applyBorder="1" applyAlignment="1">
      <alignment vertical="center"/>
    </xf>
    <xf numFmtId="0" fontId="53" fillId="0" borderId="0" xfId="0" applyFont="1" applyFill="1" applyBorder="1"/>
    <xf numFmtId="0" fontId="26" fillId="0" borderId="0" xfId="0" applyFont="1" applyFill="1" applyBorder="1" applyAlignment="1" applyProtection="1">
      <alignment vertical="center" wrapText="1"/>
      <protection hidden="1"/>
    </xf>
    <xf numFmtId="0" fontId="53" fillId="0" borderId="0" xfId="0" applyFont="1" applyFill="1" applyBorder="1" applyAlignment="1" applyProtection="1">
      <alignment vertical="center"/>
      <protection locked="0" hidden="1"/>
    </xf>
    <xf numFmtId="0" fontId="53" fillId="0" borderId="0" xfId="0" applyFont="1" applyFill="1" applyBorder="1" applyAlignment="1" applyProtection="1">
      <alignment vertical="center"/>
      <protection locked="0"/>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protection hidden="1"/>
    </xf>
  </cellXfs>
  <cellStyles count="3">
    <cellStyle name="Standard 2" xfId="1"/>
    <cellStyle name="Standard 3" xfId="2"/>
    <cellStyle name="Обычный" xfId="0" builtinId="0"/>
  </cellStyles>
  <dxfs count="169">
    <dxf>
      <font>
        <b/>
        <i val="0"/>
        <condense val="0"/>
        <extend val="0"/>
      </font>
      <fill>
        <patternFill>
          <bgColor indexed="9"/>
        </patternFill>
      </fill>
    </dxf>
    <dxf>
      <fill>
        <patternFill>
          <bgColor rgb="FFFFE6CD"/>
        </patternFill>
      </fill>
    </dxf>
    <dxf>
      <fill>
        <patternFill>
          <bgColor rgb="FFCCECFF"/>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ill>
        <patternFill>
          <bgColor indexed="57"/>
        </patternFill>
      </fill>
    </dxf>
    <dxf>
      <fill>
        <patternFill>
          <bgColor indexed="10"/>
        </patternFill>
      </fill>
    </dxf>
    <dxf>
      <font>
        <condense val="0"/>
        <extend val="0"/>
        <color indexed="9"/>
      </font>
    </dxf>
    <dxf>
      <font>
        <condense val="0"/>
        <extend val="0"/>
        <color indexed="9"/>
      </font>
    </dxf>
    <dxf>
      <font>
        <condense val="0"/>
        <extend val="0"/>
        <color indexed="9"/>
      </font>
    </dxf>
    <dxf>
      <font>
        <b/>
        <i val="0"/>
        <condense val="0"/>
        <extend val="0"/>
      </font>
      <fill>
        <patternFill>
          <bgColor indexed="9"/>
        </patternFill>
      </fill>
    </dxf>
    <dxf>
      <fill>
        <patternFill>
          <bgColor rgb="FFFFE6CD"/>
        </patternFill>
      </fill>
    </dxf>
    <dxf>
      <fill>
        <patternFill>
          <bgColor rgb="FFCCECFF"/>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ill>
        <patternFill>
          <bgColor rgb="FFCCECFF"/>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ill>
        <patternFill>
          <bgColor rgb="FFCCECFF"/>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ill>
        <patternFill>
          <bgColor rgb="FFCCECFF"/>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condense val="0"/>
        <extend val="0"/>
        <color auto="1"/>
      </font>
      <fill>
        <patternFill>
          <bgColor indexed="9"/>
        </patternFill>
      </fill>
    </dxf>
    <dxf>
      <font>
        <condense val="0"/>
        <extend val="0"/>
        <color auto="1"/>
      </font>
      <fill>
        <patternFill>
          <bgColor indexed="9"/>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b/>
        <i val="0"/>
        <condense val="0"/>
        <extend val="0"/>
      </font>
      <fill>
        <patternFill>
          <bgColor indexed="9"/>
        </patternFill>
      </fill>
    </dxf>
    <dxf>
      <fill>
        <patternFill>
          <bgColor rgb="FFFFE6CD"/>
        </patternFill>
      </fill>
    </dxf>
    <dxf>
      <font>
        <b/>
        <i val="0"/>
        <condense val="0"/>
        <extend val="0"/>
      </font>
      <fill>
        <patternFill>
          <bgColor indexed="9"/>
        </patternFill>
      </fill>
    </dxf>
    <dxf>
      <font>
        <b/>
        <i val="0"/>
        <condense val="0"/>
        <extend val="0"/>
        <color indexed="12"/>
      </font>
      <fill>
        <patternFill>
          <bgColor rgb="FFFFE6CD"/>
        </patternFill>
      </fill>
    </dxf>
    <dxf>
      <font>
        <condense val="0"/>
        <extend val="0"/>
        <color auto="1"/>
      </font>
      <fill>
        <patternFill>
          <bgColor indexed="9"/>
        </patternFill>
      </fill>
      <border>
        <left/>
        <right/>
        <top/>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auto="1"/>
      </font>
      <fill>
        <patternFill>
          <bgColor indexed="9"/>
        </patternFill>
      </fill>
      <border>
        <bottom style="thin">
          <color indexed="64"/>
        </bottom>
      </border>
    </dxf>
    <dxf>
      <fill>
        <patternFill>
          <bgColor indexed="9"/>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9"/>
        </patternFill>
      </fill>
    </dxf>
    <dxf>
      <fill>
        <patternFill>
          <bgColor rgb="FFFFE6CD"/>
        </patternFill>
      </fill>
    </dxf>
    <dxf>
      <fill>
        <patternFill>
          <bgColor rgb="FFFFE6CD"/>
        </patternFill>
      </fill>
    </dxf>
    <dxf>
      <fill>
        <patternFill>
          <bgColor rgb="FFFFE6CD"/>
        </patternFill>
      </fill>
    </dxf>
    <dxf>
      <font>
        <condense val="0"/>
        <extend val="0"/>
        <color indexed="9"/>
      </font>
    </dxf>
    <dxf>
      <fill>
        <patternFill>
          <bgColor rgb="FFFFE6CD"/>
        </patternFill>
      </fill>
    </dxf>
    <dxf>
      <fill>
        <patternFill>
          <bgColor rgb="FFFFE6CD"/>
        </patternFill>
      </fill>
    </dxf>
    <dxf>
      <fill>
        <patternFill>
          <bgColor indexed="43"/>
        </patternFill>
      </fill>
    </dxf>
    <dxf>
      <font>
        <b/>
        <i val="0"/>
        <condense val="0"/>
        <extend val="0"/>
        <color indexed="8"/>
      </font>
      <fill>
        <patternFill>
          <bgColor indexed="9"/>
        </patternFill>
      </fill>
    </dxf>
    <dxf>
      <font>
        <b/>
        <i val="0"/>
        <condense val="0"/>
        <extend val="0"/>
        <color indexed="8"/>
      </font>
      <fill>
        <patternFill>
          <bgColor indexed="9"/>
        </patternFill>
      </fill>
    </dxf>
    <dxf>
      <font>
        <condense val="0"/>
        <extend val="0"/>
        <color indexed="12"/>
      </font>
      <fill>
        <patternFill>
          <bgColor indexed="42"/>
        </patternFill>
      </fill>
      <border>
        <left style="thin">
          <color indexed="64"/>
        </left>
        <right/>
        <top style="thin">
          <color indexed="64"/>
        </top>
        <bottom style="thin">
          <color indexed="64"/>
        </bottom>
      </border>
    </dxf>
    <dxf>
      <font>
        <condense val="0"/>
        <extend val="0"/>
        <color indexed="12"/>
      </font>
      <fill>
        <patternFill>
          <bgColor indexed="42"/>
        </patternFill>
      </fill>
      <border>
        <left/>
        <right style="thin">
          <color indexed="64"/>
        </right>
        <top style="thin">
          <color indexed="64"/>
        </top>
        <bottom style="thin">
          <color indexed="64"/>
        </bottom>
      </border>
    </dxf>
    <dxf>
      <font>
        <condense val="0"/>
        <extend val="0"/>
        <color indexed="12"/>
      </font>
      <fill>
        <patternFill>
          <bgColor indexed="42"/>
        </patternFill>
      </fill>
      <border>
        <left/>
        <right/>
        <top style="thin">
          <color indexed="64"/>
        </top>
        <bottom style="thin">
          <color indexed="64"/>
        </bottom>
      </border>
    </dxf>
    <dxf>
      <font>
        <condense val="0"/>
        <extend val="0"/>
        <color indexed="9"/>
      </font>
    </dxf>
    <dxf>
      <font>
        <color auto="1"/>
      </font>
    </dxf>
    <dxf>
      <fill>
        <patternFill>
          <bgColor rgb="FFFFE6CD"/>
        </patternFill>
      </fill>
      <border>
        <bottom style="thin">
          <color indexed="64"/>
        </bottom>
      </border>
    </dxf>
    <dxf>
      <fill>
        <patternFill>
          <bgColor indexed="9"/>
        </patternFill>
      </fill>
      <border>
        <left/>
        <right/>
        <top/>
        <bottom style="thin">
          <color indexed="64"/>
        </bottom>
      </border>
    </dxf>
    <dxf>
      <font>
        <color auto="1"/>
      </font>
    </dxf>
    <dxf>
      <font>
        <color auto="1"/>
      </font>
    </dxf>
    <dxf>
      <font>
        <color theme="0"/>
      </font>
    </dxf>
    <dxf>
      <font>
        <color theme="0"/>
      </font>
    </dxf>
    <dxf>
      <font>
        <color theme="0"/>
      </font>
    </dxf>
    <dxf>
      <fill>
        <patternFill>
          <bgColor rgb="FFFFFF99"/>
        </patternFill>
      </fill>
      <border>
        <bottom style="thin">
          <color indexed="64"/>
        </bottom>
      </border>
    </dxf>
    <dxf>
      <fill>
        <patternFill>
          <bgColor rgb="FFFFFF99"/>
        </patternFill>
      </fill>
      <border>
        <bottom style="thin">
          <color indexed="64"/>
        </bottom>
      </border>
    </dxf>
    <dxf>
      <font>
        <condense val="0"/>
        <extend val="0"/>
        <color auto="1"/>
      </font>
      <fill>
        <patternFill>
          <bgColor indexed="9"/>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auto="1"/>
      </font>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rgb="FFFFE6CD"/>
        </patternFill>
      </fill>
      <border>
        <left/>
        <right/>
        <top/>
        <bottom style="thin">
          <color indexed="64"/>
        </bottom>
      </border>
    </dxf>
    <dxf>
      <fill>
        <patternFill>
          <bgColor indexed="43"/>
        </patternFill>
      </fill>
    </dxf>
    <dxf>
      <fill>
        <patternFill>
          <bgColor rgb="FFFFE6CD"/>
        </patternFill>
      </fill>
    </dxf>
    <dxf>
      <font>
        <condense val="0"/>
        <extend val="0"/>
        <color indexed="9"/>
      </font>
      <border>
        <left/>
        <right/>
        <top/>
        <bottom/>
      </border>
    </dxf>
    <dxf>
      <font>
        <condense val="0"/>
        <extend val="0"/>
        <color indexed="9"/>
      </font>
    </dxf>
    <dxf>
      <fill>
        <patternFill>
          <bgColor indexed="9"/>
        </patternFill>
      </fill>
      <border>
        <bottom style="thin">
          <color indexed="64"/>
        </bottom>
      </border>
    </dxf>
    <dxf>
      <fill>
        <patternFill>
          <bgColor indexed="9"/>
        </patternFill>
      </fill>
      <border>
        <left/>
        <right/>
        <top/>
        <bottom style="thin">
          <color indexed="64"/>
        </bottom>
      </border>
    </dxf>
    <dxf>
      <font>
        <condense val="0"/>
        <extend val="0"/>
        <color indexed="9"/>
      </font>
    </dxf>
    <dxf>
      <fill>
        <patternFill>
          <bgColor rgb="FFCCCCFF"/>
        </patternFill>
      </fill>
      <border>
        <left style="thin">
          <color auto="1"/>
        </left>
        <right style="thin">
          <color auto="1"/>
        </right>
        <top style="thin">
          <color auto="1"/>
        </top>
        <bottom style="thin">
          <color auto="1"/>
        </bottom>
        <vertical/>
        <horizontal/>
      </border>
    </dxf>
    <dxf>
      <fill>
        <patternFill>
          <bgColor rgb="FFCCECFF"/>
        </patternFill>
      </fill>
      <border>
        <left style="thin">
          <color auto="1"/>
        </left>
        <right style="thin">
          <color auto="1"/>
        </right>
        <top style="thin">
          <color auto="1"/>
        </top>
        <bottom style="thin">
          <color auto="1"/>
        </bottom>
        <vertical/>
        <horizontal/>
      </border>
    </dxf>
    <dxf>
      <fill>
        <patternFill>
          <bgColor rgb="FFDCE6F1"/>
        </patternFill>
      </fill>
      <border>
        <left style="thin">
          <color auto="1"/>
        </left>
        <right style="thin">
          <color auto="1"/>
        </right>
        <top style="thin">
          <color auto="1"/>
        </top>
        <bottom style="thin">
          <color auto="1"/>
        </bottom>
        <vertical/>
        <horizontal/>
      </border>
    </dxf>
    <dxf>
      <font>
        <color auto="1"/>
      </font>
      <border>
        <bottom style="hair">
          <color indexed="64"/>
        </bottom>
      </border>
    </dxf>
    <dxf>
      <font>
        <color auto="1"/>
      </font>
    </dxf>
    <dxf>
      <font>
        <color auto="1"/>
      </font>
      <border>
        <bottom style="hair">
          <color indexed="64"/>
        </bottom>
      </border>
    </dxf>
    <dxf>
      <font>
        <color auto="1"/>
      </font>
      <border>
        <bottom style="thin">
          <color indexed="64"/>
        </bottom>
      </border>
    </dxf>
    <dxf>
      <font>
        <color auto="1"/>
      </font>
      <fill>
        <patternFill>
          <bgColor rgb="FFFFE6CD"/>
        </patternFill>
      </fill>
      <border>
        <bottom style="thin">
          <color indexed="64"/>
        </bottom>
      </border>
    </dxf>
    <dxf>
      <font>
        <color auto="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auto="1"/>
      </font>
      <fill>
        <patternFill>
          <bgColor rgb="FFFFE6CD"/>
        </patternFill>
      </fill>
      <border>
        <bottom style="thin">
          <color indexed="64"/>
        </bottom>
      </border>
    </dxf>
    <dxf>
      <fill>
        <patternFill>
          <bgColor rgb="FFCCECFF"/>
        </patternFill>
      </fill>
      <border>
        <left style="thin">
          <color auto="1"/>
        </left>
        <right style="thin">
          <color auto="1"/>
        </right>
        <top style="thin">
          <color auto="1"/>
        </top>
        <bottom style="thin">
          <color auto="1"/>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patternType="none">
          <bgColor auto="1"/>
        </patternFill>
      </fill>
      <border>
        <vertical/>
        <horizontal/>
      </border>
    </dxf>
    <dxf>
      <fill>
        <patternFill>
          <bgColor rgb="FFCCECFF"/>
        </pattern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auto="1"/>
      </font>
      <fill>
        <patternFill>
          <bgColor indexed="9"/>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auto="1"/>
      </font>
      <fill>
        <patternFill>
          <bgColor indexed="9"/>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rgb="FFFFE6CD"/>
        </patternFill>
      </fill>
    </dxf>
    <dxf>
      <fill>
        <patternFill>
          <bgColor indexed="43"/>
        </patternFill>
      </fill>
    </dxf>
    <dxf>
      <font>
        <condense val="0"/>
        <extend val="0"/>
        <color indexed="9"/>
      </font>
    </dxf>
  </dxfs>
  <tableStyles count="0" defaultTableStyle="TableStyleMedium2" defaultPivotStyle="PivotStyleLight16"/>
  <colors>
    <mruColors>
      <color rgb="FF9CCBF2"/>
      <color rgb="FFCCECFF"/>
      <color rgb="FFDCE6F1"/>
      <color rgb="FFCCCCFF"/>
      <color rgb="FFCCFFFF"/>
      <color rgb="FFDAECFA"/>
      <color rgb="FF16365C"/>
      <color rgb="FF333399"/>
      <color rgb="FFBFDEF7"/>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35</xdr:col>
      <xdr:colOff>37061</xdr:colOff>
      <xdr:row>1</xdr:row>
      <xdr:rowOff>11206</xdr:rowOff>
    </xdr:from>
    <xdr:to>
      <xdr:col>41</xdr:col>
      <xdr:colOff>87404</xdr:colOff>
      <xdr:row>4</xdr:row>
      <xdr:rowOff>67557</xdr:rowOff>
    </xdr:to>
    <xdr:pic>
      <xdr:nvPicPr>
        <xdr:cNvPr id="4"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5590" y="235324"/>
          <a:ext cx="1339020" cy="919204"/>
        </a:xfrm>
        <a:prstGeom prst="rect">
          <a:avLst/>
        </a:prstGeom>
      </xdr:spPr>
    </xdr:pic>
    <xdr:clientData/>
  </xdr:twoCellAnchor>
  <xdr:twoCellAnchor editAs="oneCell">
    <xdr:from>
      <xdr:col>32</xdr:col>
      <xdr:colOff>20523</xdr:colOff>
      <xdr:row>87</xdr:row>
      <xdr:rowOff>5962</xdr:rowOff>
    </xdr:from>
    <xdr:to>
      <xdr:col>40</xdr:col>
      <xdr:colOff>203771</xdr:colOff>
      <xdr:row>91</xdr:row>
      <xdr:rowOff>35462</xdr:rowOff>
    </xdr:to>
    <xdr:pic>
      <xdr:nvPicPr>
        <xdr:cNvPr id="3" name="Рисунок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7723" y="14182972"/>
          <a:ext cx="1909178" cy="84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22411</xdr:colOff>
      <xdr:row>1</xdr:row>
      <xdr:rowOff>11206</xdr:rowOff>
    </xdr:from>
    <xdr:to>
      <xdr:col>42</xdr:col>
      <xdr:colOff>5519</xdr:colOff>
      <xdr:row>4</xdr:row>
      <xdr:rowOff>112380</xdr:rowOff>
    </xdr:to>
    <xdr:pic>
      <xdr:nvPicPr>
        <xdr:cNvPr id="5" name="Рисунок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8676" y="190500"/>
          <a:ext cx="1339020" cy="919204"/>
        </a:xfrm>
        <a:prstGeom prst="rect">
          <a:avLst/>
        </a:prstGeom>
      </xdr:spPr>
    </xdr:pic>
    <xdr:clientData/>
  </xdr:twoCellAnchor>
  <xdr:twoCellAnchor editAs="oneCell">
    <xdr:from>
      <xdr:col>32</xdr:col>
      <xdr:colOff>36324</xdr:colOff>
      <xdr:row>77</xdr:row>
      <xdr:rowOff>11205</xdr:rowOff>
    </xdr:from>
    <xdr:to>
      <xdr:col>41</xdr:col>
      <xdr:colOff>2796</xdr:colOff>
      <xdr:row>81</xdr:row>
      <xdr:rowOff>108741</xdr:rowOff>
    </xdr:to>
    <xdr:pic>
      <xdr:nvPicPr>
        <xdr:cNvPr id="6" name="Рисунок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7479" y="13076877"/>
          <a:ext cx="1845196" cy="859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1104900</xdr:colOff>
      <xdr:row>108</xdr:row>
      <xdr:rowOff>19050</xdr:rowOff>
    </xdr:from>
    <xdr:to>
      <xdr:col>21</xdr:col>
      <xdr:colOff>114300</xdr:colOff>
      <xdr:row>123</xdr:row>
      <xdr:rowOff>3923</xdr:rowOff>
    </xdr:to>
    <xdr:pic>
      <xdr:nvPicPr>
        <xdr:cNvPr id="11387" name="Picture 1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16964025"/>
          <a:ext cx="4371975"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22</xdr:col>
      <xdr:colOff>104775</xdr:colOff>
      <xdr:row>108</xdr:row>
      <xdr:rowOff>19050</xdr:rowOff>
    </xdr:from>
    <xdr:to>
      <xdr:col>39</xdr:col>
      <xdr:colOff>171450</xdr:colOff>
      <xdr:row>123</xdr:row>
      <xdr:rowOff>17930</xdr:rowOff>
    </xdr:to>
    <xdr:pic>
      <xdr:nvPicPr>
        <xdr:cNvPr id="11388" name="Picture 1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95950" y="16964025"/>
          <a:ext cx="4295775"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35</xdr:col>
      <xdr:colOff>190501</xdr:colOff>
      <xdr:row>1</xdr:row>
      <xdr:rowOff>22412</xdr:rowOff>
    </xdr:from>
    <xdr:to>
      <xdr:col>42</xdr:col>
      <xdr:colOff>5521</xdr:colOff>
      <xdr:row>4</xdr:row>
      <xdr:rowOff>190822</xdr:rowOff>
    </xdr:to>
    <xdr:pic>
      <xdr:nvPicPr>
        <xdr:cNvPr id="9" name="Рисунок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08677" y="246530"/>
          <a:ext cx="1339020" cy="919204"/>
        </a:xfrm>
        <a:prstGeom prst="rect">
          <a:avLst/>
        </a:prstGeom>
      </xdr:spPr>
    </xdr:pic>
    <xdr:clientData/>
  </xdr:twoCellAnchor>
  <xdr:twoCellAnchor editAs="oneCell">
    <xdr:from>
      <xdr:col>32</xdr:col>
      <xdr:colOff>313764</xdr:colOff>
      <xdr:row>93</xdr:row>
      <xdr:rowOff>0</xdr:rowOff>
    </xdr:from>
    <xdr:to>
      <xdr:col>41</xdr:col>
      <xdr:colOff>4177</xdr:colOff>
      <xdr:row>97</xdr:row>
      <xdr:rowOff>19415</xdr:rowOff>
    </xdr:to>
    <xdr:pic>
      <xdr:nvPicPr>
        <xdr:cNvPr id="6" name="Рисунок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36323" y="14769353"/>
          <a:ext cx="1909178" cy="84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190500</xdr:colOff>
      <xdr:row>1</xdr:row>
      <xdr:rowOff>54428</xdr:rowOff>
    </xdr:from>
    <xdr:to>
      <xdr:col>12</xdr:col>
      <xdr:colOff>547513</xdr:colOff>
      <xdr:row>3</xdr:row>
      <xdr:rowOff>149678</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26536" y="231321"/>
          <a:ext cx="1214263" cy="612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53</xdr:row>
      <xdr:rowOff>0</xdr:rowOff>
    </xdr:from>
    <xdr:to>
      <xdr:col>0</xdr:col>
      <xdr:colOff>6286500</xdr:colOff>
      <xdr:row>80</xdr:row>
      <xdr:rowOff>152400</xdr:rowOff>
    </xdr:to>
    <xdr:pic>
      <xdr:nvPicPr>
        <xdr:cNvPr id="35854"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58675"/>
          <a:ext cx="628650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T129"/>
  <sheetViews>
    <sheetView showGridLines="0" topLeftCell="A67" zoomScale="85" zoomScaleNormal="85" workbookViewId="0">
      <selection activeCell="N76" sqref="N76:Q76"/>
    </sheetView>
  </sheetViews>
  <sheetFormatPr defaultColWidth="11.42578125" defaultRowHeight="15"/>
  <cols>
    <col min="1" max="1" width="17.140625" style="345" customWidth="1"/>
    <col min="2" max="3" width="1.42578125" style="345" customWidth="1"/>
    <col min="4" max="4" width="3.28515625" style="369" customWidth="1"/>
    <col min="5" max="5" width="5.7109375" style="345" customWidth="1"/>
    <col min="6" max="9" width="3.140625" style="345" customWidth="1"/>
    <col min="10" max="10" width="4.28515625" style="345" customWidth="1"/>
    <col min="11" max="13" width="4.5703125" style="345" customWidth="1"/>
    <col min="14" max="18" width="3.28515625" style="345" customWidth="1"/>
    <col min="19" max="19" width="3.140625" style="345" customWidth="1"/>
    <col min="20" max="20" width="3.28515625" style="345" customWidth="1"/>
    <col min="21" max="23" width="3.140625" style="345" customWidth="1"/>
    <col min="24" max="24" width="3.28515625" style="345" customWidth="1"/>
    <col min="25" max="25" width="3.140625" style="345" customWidth="1"/>
    <col min="26" max="26" width="3.42578125" style="345" customWidth="1"/>
    <col min="27" max="27" width="3.140625" style="345" customWidth="1"/>
    <col min="28" max="28" width="3.28515625" style="345" customWidth="1"/>
    <col min="29" max="31" width="3.140625" style="345" customWidth="1"/>
    <col min="32" max="32" width="3.28515625" style="345" customWidth="1"/>
    <col min="33" max="33" width="3.140625" style="345" customWidth="1"/>
    <col min="34" max="34" width="3.7109375" style="345" customWidth="1"/>
    <col min="35" max="37" width="3.140625" style="345" customWidth="1"/>
    <col min="38" max="38" width="3.28515625" style="345" customWidth="1"/>
    <col min="39" max="41" width="3.140625" style="345" customWidth="1"/>
    <col min="42" max="42" width="1.42578125" style="345" customWidth="1"/>
    <col min="43" max="43" width="17.140625" style="345" customWidth="1"/>
    <col min="44" max="16384" width="11.42578125" style="345"/>
  </cols>
  <sheetData>
    <row r="1" spans="1:46">
      <c r="A1" s="342"/>
      <c r="B1" s="342"/>
      <c r="C1" s="342"/>
      <c r="D1" s="344"/>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row>
    <row r="2" spans="1:46">
      <c r="A2" s="342"/>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Q2" s="342"/>
    </row>
    <row r="3" spans="1:46" ht="23.25">
      <c r="A3" s="342"/>
      <c r="C3" s="396"/>
      <c r="D3" s="397"/>
      <c r="E3" s="537" t="str">
        <f ca="1">language!A4</f>
        <v>Опросный лист</v>
      </c>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398"/>
      <c r="AG3" s="398"/>
      <c r="AH3" s="398"/>
      <c r="AI3" s="398"/>
      <c r="AJ3" s="398"/>
      <c r="AK3" s="398"/>
      <c r="AL3" s="398"/>
      <c r="AM3" s="398"/>
      <c r="AN3" s="398"/>
      <c r="AO3" s="398"/>
      <c r="AQ3" s="342"/>
    </row>
    <row r="4" spans="1:46" ht="27.75">
      <c r="A4" s="342"/>
      <c r="C4" s="396"/>
      <c r="D4" s="397"/>
      <c r="E4" s="538" t="s">
        <v>1242</v>
      </c>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398"/>
      <c r="AG4" s="398"/>
      <c r="AH4" s="398"/>
      <c r="AI4" s="398"/>
      <c r="AJ4" s="398"/>
      <c r="AK4" s="398"/>
      <c r="AL4" s="398"/>
      <c r="AM4" s="398"/>
      <c r="AN4" s="398"/>
      <c r="AO4" s="398"/>
      <c r="AQ4" s="342"/>
    </row>
    <row r="5" spans="1:46" ht="23.25">
      <c r="A5" s="342"/>
      <c r="C5" s="396"/>
      <c r="D5" s="397"/>
      <c r="E5" s="539" t="str">
        <f ca="1">language!A5</f>
        <v>Счетчик газа ультразвуковой</v>
      </c>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398"/>
      <c r="AG5" s="398"/>
      <c r="AH5" s="398"/>
      <c r="AI5" s="398"/>
      <c r="AJ5" s="398"/>
      <c r="AK5" s="398"/>
      <c r="AL5" s="398"/>
      <c r="AM5" s="398"/>
      <c r="AN5" s="398"/>
      <c r="AO5" s="399"/>
      <c r="AQ5" s="342"/>
    </row>
    <row r="6" spans="1:46" ht="9" customHeight="1">
      <c r="A6" s="342"/>
      <c r="C6" s="396"/>
      <c r="D6" s="400"/>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Q6" s="342"/>
    </row>
    <row r="7" spans="1:46" ht="9" customHeight="1">
      <c r="A7" s="342"/>
      <c r="C7" s="402"/>
      <c r="D7" s="572"/>
      <c r="E7" s="472"/>
      <c r="F7" s="403"/>
      <c r="G7" s="403"/>
      <c r="H7" s="403"/>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5"/>
      <c r="AP7" s="494"/>
      <c r="AQ7" s="342"/>
    </row>
    <row r="8" spans="1:46" ht="14.25" customHeight="1">
      <c r="A8" s="342"/>
      <c r="C8" s="406"/>
      <c r="D8" s="534"/>
      <c r="E8" s="407" t="str">
        <f ca="1">language!A529</f>
        <v>Язык</v>
      </c>
      <c r="F8" s="430"/>
      <c r="G8" s="430"/>
      <c r="H8" s="430"/>
      <c r="I8" s="420"/>
      <c r="J8" s="420"/>
      <c r="K8" s="513" t="s">
        <v>1241</v>
      </c>
      <c r="L8" s="514"/>
      <c r="M8" s="514"/>
      <c r="N8" s="514"/>
      <c r="O8" s="514"/>
      <c r="P8" s="515"/>
      <c r="Q8" s="420"/>
      <c r="R8" s="418"/>
      <c r="S8" s="396"/>
      <c r="T8" s="396"/>
      <c r="U8" s="418"/>
      <c r="V8" s="418"/>
      <c r="W8" s="418"/>
      <c r="X8" s="418"/>
      <c r="Y8" s="418"/>
      <c r="Z8" s="418"/>
      <c r="AA8" s="420" t="str">
        <f ca="1">language!A2</f>
        <v xml:space="preserve"> </v>
      </c>
      <c r="AB8" s="418"/>
      <c r="AC8" s="544" t="str">
        <f ca="1">language!A6</f>
        <v>Требует заполнения</v>
      </c>
      <c r="AD8" s="545"/>
      <c r="AE8" s="545"/>
      <c r="AF8" s="545"/>
      <c r="AG8" s="545"/>
      <c r="AH8" s="545"/>
      <c r="AI8" s="546"/>
      <c r="AJ8" s="418"/>
      <c r="AK8" s="574" t="str">
        <f ca="1">language!A7</f>
        <v>По запросу</v>
      </c>
      <c r="AL8" s="575"/>
      <c r="AM8" s="575"/>
      <c r="AN8" s="576"/>
      <c r="AO8" s="408"/>
      <c r="AP8" s="494"/>
      <c r="AQ8" s="342"/>
    </row>
    <row r="9" spans="1:46" ht="6" customHeight="1">
      <c r="A9" s="342"/>
      <c r="C9" s="406"/>
      <c r="D9" s="534"/>
      <c r="E9" s="407"/>
      <c r="F9" s="430"/>
      <c r="G9" s="430"/>
      <c r="H9" s="430"/>
      <c r="I9" s="420"/>
      <c r="J9" s="420"/>
      <c r="K9" s="409"/>
      <c r="L9" s="409"/>
      <c r="M9" s="409"/>
      <c r="N9" s="409"/>
      <c r="O9" s="409"/>
      <c r="P9" s="409"/>
      <c r="Q9" s="420"/>
      <c r="R9" s="418"/>
      <c r="S9" s="396"/>
      <c r="T9" s="396"/>
      <c r="U9" s="418"/>
      <c r="V9" s="418"/>
      <c r="W9" s="418"/>
      <c r="X9" s="418"/>
      <c r="Y9" s="418"/>
      <c r="Z9" s="418"/>
      <c r="AA9" s="420"/>
      <c r="AB9" s="418"/>
      <c r="AC9" s="410"/>
      <c r="AD9" s="410"/>
      <c r="AE9" s="410"/>
      <c r="AF9" s="410"/>
      <c r="AG9" s="410"/>
      <c r="AH9" s="410"/>
      <c r="AI9" s="410"/>
      <c r="AJ9" s="418"/>
      <c r="AK9" s="410"/>
      <c r="AL9" s="410"/>
      <c r="AM9" s="410"/>
      <c r="AN9" s="410"/>
      <c r="AO9" s="408"/>
      <c r="AP9" s="494"/>
      <c r="AQ9" s="342"/>
    </row>
    <row r="10" spans="1:46" ht="6" customHeight="1">
      <c r="A10" s="342"/>
      <c r="C10" s="411"/>
      <c r="D10" s="573"/>
      <c r="E10" s="489"/>
      <c r="F10" s="412"/>
      <c r="G10" s="412"/>
      <c r="H10" s="412"/>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4"/>
      <c r="AP10" s="494"/>
      <c r="AQ10" s="342"/>
      <c r="AR10" s="358"/>
      <c r="AS10" s="358"/>
      <c r="AT10" s="358"/>
    </row>
    <row r="11" spans="1:46" ht="6" customHeight="1">
      <c r="A11" s="342"/>
      <c r="C11" s="396"/>
      <c r="D11" s="397"/>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494"/>
      <c r="AQ11" s="342"/>
      <c r="AR11" s="358"/>
      <c r="AS11" s="358"/>
      <c r="AT11" s="358"/>
    </row>
    <row r="12" spans="1:46" ht="6" customHeight="1">
      <c r="A12" s="342"/>
      <c r="C12" s="415"/>
      <c r="D12" s="416"/>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5"/>
      <c r="AP12" s="494"/>
      <c r="AQ12" s="342"/>
      <c r="AR12" s="358"/>
      <c r="AS12" s="358"/>
      <c r="AT12" s="358"/>
    </row>
    <row r="13" spans="1:46" ht="15.75">
      <c r="A13" s="342"/>
      <c r="C13" s="417"/>
      <c r="D13" s="422"/>
      <c r="E13" s="530" t="str">
        <f ca="1">language!A18</f>
        <v>Заказчик</v>
      </c>
      <c r="F13" s="530"/>
      <c r="G13" s="530"/>
      <c r="H13" s="530"/>
      <c r="I13" s="530"/>
      <c r="J13" s="530"/>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08"/>
      <c r="AP13" s="494"/>
      <c r="AQ13" s="342"/>
      <c r="AR13" s="358"/>
      <c r="AS13" s="358"/>
      <c r="AT13" s="358"/>
    </row>
    <row r="14" spans="1:46" ht="15.75">
      <c r="A14" s="342"/>
      <c r="C14" s="417"/>
      <c r="D14" s="422"/>
      <c r="E14" s="543" t="str">
        <f ca="1">language!A19</f>
        <v>Компания</v>
      </c>
      <c r="F14" s="543"/>
      <c r="G14" s="543"/>
      <c r="H14" s="543"/>
      <c r="I14" s="543"/>
      <c r="J14" s="543"/>
      <c r="K14" s="566"/>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8"/>
      <c r="AO14" s="408"/>
      <c r="AP14" s="494"/>
      <c r="AQ14" s="342"/>
      <c r="AR14" s="358"/>
      <c r="AS14" s="358"/>
      <c r="AT14" s="358"/>
    </row>
    <row r="15" spans="1:46" s="348" customFormat="1" ht="9" customHeight="1">
      <c r="A15" s="343"/>
      <c r="B15" s="345"/>
      <c r="C15" s="417"/>
      <c r="D15" s="422"/>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08"/>
      <c r="AP15" s="494"/>
      <c r="AQ15" s="343"/>
      <c r="AR15" s="352"/>
      <c r="AS15" s="352"/>
      <c r="AT15" s="352"/>
    </row>
    <row r="16" spans="1:46" ht="15.75">
      <c r="A16" s="342"/>
      <c r="C16" s="417"/>
      <c r="D16" s="422"/>
      <c r="E16" s="543" t="str">
        <f ca="1">language!A20</f>
        <v>Адрес</v>
      </c>
      <c r="F16" s="543"/>
      <c r="G16" s="543"/>
      <c r="H16" s="543"/>
      <c r="I16" s="543"/>
      <c r="J16" s="543"/>
      <c r="K16" s="540"/>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2"/>
      <c r="AO16" s="408"/>
      <c r="AP16" s="494"/>
      <c r="AQ16" s="342"/>
      <c r="AR16" s="358"/>
      <c r="AS16" s="358"/>
      <c r="AT16" s="358"/>
    </row>
    <row r="17" spans="1:46" s="348" customFormat="1" ht="9" customHeight="1">
      <c r="A17" s="343"/>
      <c r="B17" s="345"/>
      <c r="C17" s="417"/>
      <c r="D17" s="422"/>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08"/>
      <c r="AP17" s="494"/>
      <c r="AQ17" s="343"/>
      <c r="AR17" s="352"/>
      <c r="AS17" s="352"/>
      <c r="AT17" s="352"/>
    </row>
    <row r="18" spans="1:46" ht="15.75">
      <c r="A18" s="342"/>
      <c r="C18" s="406"/>
      <c r="D18" s="407"/>
      <c r="E18" s="419"/>
      <c r="F18" s="419"/>
      <c r="G18" s="419"/>
      <c r="H18" s="419"/>
      <c r="I18" s="418"/>
      <c r="J18" s="418"/>
      <c r="K18" s="540"/>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2"/>
      <c r="AO18" s="408"/>
      <c r="AP18" s="494"/>
      <c r="AQ18" s="342"/>
      <c r="AR18" s="358"/>
      <c r="AS18" s="358"/>
      <c r="AT18" s="358"/>
    </row>
    <row r="19" spans="1:46" s="348" customFormat="1" ht="9" customHeight="1">
      <c r="A19" s="343"/>
      <c r="B19" s="345"/>
      <c r="C19" s="406"/>
      <c r="D19" s="407"/>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08"/>
      <c r="AP19" s="494"/>
      <c r="AQ19" s="343"/>
      <c r="AR19" s="352"/>
      <c r="AS19" s="352"/>
      <c r="AT19" s="352"/>
    </row>
    <row r="20" spans="1:46" ht="15.75">
      <c r="A20" s="342"/>
      <c r="C20" s="406"/>
      <c r="D20" s="407"/>
      <c r="E20" s="419"/>
      <c r="F20" s="419"/>
      <c r="G20" s="419"/>
      <c r="H20" s="419"/>
      <c r="I20" s="418"/>
      <c r="J20" s="418"/>
      <c r="K20" s="540"/>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2"/>
      <c r="AO20" s="408"/>
      <c r="AP20" s="494"/>
      <c r="AQ20" s="342"/>
      <c r="AR20" s="358"/>
      <c r="AS20" s="358"/>
      <c r="AT20" s="358"/>
    </row>
    <row r="21" spans="1:46" s="348" customFormat="1" ht="9" customHeight="1">
      <c r="A21" s="343"/>
      <c r="B21" s="345"/>
      <c r="C21" s="417"/>
      <c r="D21" s="422"/>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08"/>
      <c r="AP21" s="494"/>
      <c r="AQ21" s="343"/>
      <c r="AR21" s="352"/>
      <c r="AS21" s="352"/>
      <c r="AT21" s="352"/>
    </row>
    <row r="22" spans="1:46" ht="15.75">
      <c r="A22" s="342"/>
      <c r="C22" s="417"/>
      <c r="D22" s="422"/>
      <c r="E22" s="543" t="str">
        <f ca="1">language!A21</f>
        <v>Контактное лицо</v>
      </c>
      <c r="F22" s="543"/>
      <c r="G22" s="543"/>
      <c r="H22" s="543"/>
      <c r="I22" s="543"/>
      <c r="J22" s="543"/>
      <c r="K22" s="540"/>
      <c r="L22" s="541"/>
      <c r="M22" s="541"/>
      <c r="N22" s="541"/>
      <c r="O22" s="541"/>
      <c r="P22" s="541"/>
      <c r="Q22" s="541"/>
      <c r="R22" s="541"/>
      <c r="S22" s="541"/>
      <c r="T22" s="541"/>
      <c r="U22" s="541"/>
      <c r="V22" s="541"/>
      <c r="W22" s="542"/>
      <c r="X22" s="418"/>
      <c r="Y22" s="418"/>
      <c r="Z22" s="528" t="str">
        <f ca="1">language!A22</f>
        <v>Телефон</v>
      </c>
      <c r="AA22" s="528"/>
      <c r="AB22" s="528"/>
      <c r="AC22" s="528"/>
      <c r="AD22" s="528"/>
      <c r="AE22" s="540"/>
      <c r="AF22" s="541"/>
      <c r="AG22" s="541"/>
      <c r="AH22" s="541"/>
      <c r="AI22" s="541"/>
      <c r="AJ22" s="541"/>
      <c r="AK22" s="541"/>
      <c r="AL22" s="541"/>
      <c r="AM22" s="541"/>
      <c r="AN22" s="542"/>
      <c r="AO22" s="408"/>
      <c r="AP22" s="494"/>
      <c r="AQ22" s="342"/>
      <c r="AR22" s="358"/>
      <c r="AS22" s="358"/>
      <c r="AT22" s="358"/>
    </row>
    <row r="23" spans="1:46" s="348" customFormat="1" ht="9" customHeight="1">
      <c r="A23" s="343"/>
      <c r="B23" s="345"/>
      <c r="C23" s="417"/>
      <c r="D23" s="422"/>
      <c r="E23" s="419"/>
      <c r="F23" s="419"/>
      <c r="G23" s="419"/>
      <c r="H23" s="419"/>
      <c r="I23" s="419"/>
      <c r="J23" s="430"/>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08"/>
      <c r="AP23" s="494"/>
      <c r="AQ23" s="343"/>
      <c r="AR23" s="352"/>
      <c r="AS23" s="352"/>
      <c r="AT23" s="352"/>
    </row>
    <row r="24" spans="1:46" ht="15.75">
      <c r="A24" s="342"/>
      <c r="C24" s="417"/>
      <c r="D24" s="422"/>
      <c r="E24" s="543" t="str">
        <f ca="1">language!A23</f>
        <v>Эл. почта</v>
      </c>
      <c r="F24" s="543"/>
      <c r="G24" s="543"/>
      <c r="H24" s="543"/>
      <c r="I24" s="543"/>
      <c r="J24" s="543"/>
      <c r="K24" s="540"/>
      <c r="L24" s="541"/>
      <c r="M24" s="541"/>
      <c r="N24" s="541"/>
      <c r="O24" s="541"/>
      <c r="P24" s="541"/>
      <c r="Q24" s="541"/>
      <c r="R24" s="541"/>
      <c r="S24" s="541"/>
      <c r="T24" s="541"/>
      <c r="U24" s="541"/>
      <c r="V24" s="541"/>
      <c r="W24" s="542"/>
      <c r="X24" s="418"/>
      <c r="Y24" s="418"/>
      <c r="Z24" s="528" t="str">
        <f ca="1">language!A24</f>
        <v>Факс</v>
      </c>
      <c r="AA24" s="528"/>
      <c r="AB24" s="528"/>
      <c r="AC24" s="528"/>
      <c r="AD24" s="528"/>
      <c r="AE24" s="540"/>
      <c r="AF24" s="541"/>
      <c r="AG24" s="541"/>
      <c r="AH24" s="541"/>
      <c r="AI24" s="541"/>
      <c r="AJ24" s="541"/>
      <c r="AK24" s="541"/>
      <c r="AL24" s="541"/>
      <c r="AM24" s="541"/>
      <c r="AN24" s="542"/>
      <c r="AO24" s="408"/>
      <c r="AP24" s="494"/>
      <c r="AQ24" s="342"/>
      <c r="AR24" s="358"/>
      <c r="AS24" s="358"/>
      <c r="AT24" s="358"/>
    </row>
    <row r="25" spans="1:46" s="348" customFormat="1" ht="9" customHeight="1">
      <c r="A25" s="343"/>
      <c r="B25" s="345"/>
      <c r="C25" s="417"/>
      <c r="D25" s="422"/>
      <c r="E25" s="419"/>
      <c r="F25" s="419"/>
      <c r="G25" s="419"/>
      <c r="H25" s="419"/>
      <c r="I25" s="419"/>
      <c r="J25" s="430"/>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08"/>
      <c r="AP25" s="494"/>
      <c r="AQ25" s="343"/>
      <c r="AR25" s="352"/>
      <c r="AS25" s="352"/>
      <c r="AT25" s="352"/>
    </row>
    <row r="26" spans="1:46" ht="15.75">
      <c r="A26" s="342"/>
      <c r="C26" s="417"/>
      <c r="D26" s="422"/>
      <c r="E26" s="418"/>
      <c r="F26" s="418"/>
      <c r="G26" s="418"/>
      <c r="H26" s="418"/>
      <c r="I26" s="418"/>
      <c r="J26" s="418"/>
      <c r="K26" s="418"/>
      <c r="L26" s="418"/>
      <c r="M26" s="418"/>
      <c r="N26" s="418"/>
      <c r="O26" s="418"/>
      <c r="P26" s="418"/>
      <c r="Q26" s="418"/>
      <c r="R26" s="418"/>
      <c r="S26" s="418"/>
      <c r="T26" s="418"/>
      <c r="U26" s="418"/>
      <c r="V26" s="418"/>
      <c r="W26" s="418"/>
      <c r="X26" s="418"/>
      <c r="Y26" s="418"/>
      <c r="Z26" s="528" t="str">
        <f ca="1">language!A25</f>
        <v>Дата</v>
      </c>
      <c r="AA26" s="528"/>
      <c r="AB26" s="528"/>
      <c r="AC26" s="528"/>
      <c r="AD26" s="528"/>
      <c r="AE26" s="550"/>
      <c r="AF26" s="551"/>
      <c r="AG26" s="551"/>
      <c r="AH26" s="551"/>
      <c r="AI26" s="551"/>
      <c r="AJ26" s="551"/>
      <c r="AK26" s="551"/>
      <c r="AL26" s="551"/>
      <c r="AM26" s="551"/>
      <c r="AN26" s="552"/>
      <c r="AO26" s="408"/>
      <c r="AP26" s="494"/>
      <c r="AQ26" s="342"/>
      <c r="AR26" s="358"/>
      <c r="AS26" s="358"/>
      <c r="AT26" s="358"/>
    </row>
    <row r="27" spans="1:46" ht="15.75">
      <c r="A27" s="342"/>
      <c r="C27" s="417"/>
      <c r="D27" s="422"/>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08"/>
      <c r="AP27" s="494"/>
      <c r="AQ27" s="342"/>
      <c r="AR27" s="358"/>
      <c r="AS27" s="358"/>
      <c r="AT27" s="358"/>
    </row>
    <row r="28" spans="1:46" ht="15.75">
      <c r="A28" s="342"/>
      <c r="C28" s="417"/>
      <c r="D28" s="422"/>
      <c r="E28" s="530" t="str">
        <f ca="1">language!A26</f>
        <v>Название проекта</v>
      </c>
      <c r="F28" s="530"/>
      <c r="G28" s="530"/>
      <c r="H28" s="530"/>
      <c r="I28" s="530"/>
      <c r="J28" s="530"/>
      <c r="K28" s="566"/>
      <c r="L28" s="567"/>
      <c r="M28" s="567"/>
      <c r="N28" s="567"/>
      <c r="O28" s="567"/>
      <c r="P28" s="567"/>
      <c r="Q28" s="567"/>
      <c r="R28" s="567"/>
      <c r="S28" s="567"/>
      <c r="T28" s="567"/>
      <c r="U28" s="567"/>
      <c r="V28" s="567"/>
      <c r="W28" s="568"/>
      <c r="X28" s="421"/>
      <c r="Y28" s="421"/>
      <c r="Z28" s="528" t="str">
        <f ca="1">language!A29</f>
        <v>№ Опр. листа</v>
      </c>
      <c r="AA28" s="528"/>
      <c r="AB28" s="528"/>
      <c r="AC28" s="528"/>
      <c r="AD28" s="528"/>
      <c r="AE28" s="540"/>
      <c r="AF28" s="541"/>
      <c r="AG28" s="541"/>
      <c r="AH28" s="541"/>
      <c r="AI28" s="541"/>
      <c r="AJ28" s="541"/>
      <c r="AK28" s="541"/>
      <c r="AL28" s="541"/>
      <c r="AM28" s="541"/>
      <c r="AN28" s="542"/>
      <c r="AO28" s="408"/>
      <c r="AP28" s="494"/>
      <c r="AQ28" s="342"/>
      <c r="AR28" s="358"/>
      <c r="AS28" s="358"/>
      <c r="AT28" s="358"/>
    </row>
    <row r="29" spans="1:46" s="348" customFormat="1" ht="9" customHeight="1">
      <c r="A29" s="343"/>
      <c r="B29" s="345"/>
      <c r="C29" s="417"/>
      <c r="D29" s="422"/>
      <c r="E29" s="482"/>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08"/>
      <c r="AP29" s="494"/>
      <c r="AQ29" s="343"/>
      <c r="AR29" s="352"/>
      <c r="AS29" s="352"/>
      <c r="AT29" s="352"/>
    </row>
    <row r="30" spans="1:46" ht="15.75">
      <c r="A30" s="342"/>
      <c r="C30" s="417"/>
      <c r="D30" s="422"/>
      <c r="E30" s="508" t="str">
        <f ca="1">language!A27</f>
        <v>Конечный заказчик</v>
      </c>
      <c r="F30" s="508"/>
      <c r="G30" s="508"/>
      <c r="H30" s="508"/>
      <c r="I30" s="508"/>
      <c r="J30" s="508"/>
      <c r="K30" s="540"/>
      <c r="L30" s="541"/>
      <c r="M30" s="541"/>
      <c r="N30" s="541"/>
      <c r="O30" s="541"/>
      <c r="P30" s="541"/>
      <c r="Q30" s="541"/>
      <c r="R30" s="541"/>
      <c r="S30" s="541"/>
      <c r="T30" s="541"/>
      <c r="U30" s="541"/>
      <c r="V30" s="541"/>
      <c r="W30" s="542"/>
      <c r="X30" s="418"/>
      <c r="Y30" s="418"/>
      <c r="Z30" s="423"/>
      <c r="AA30" s="396"/>
      <c r="AB30" s="430"/>
      <c r="AC30" s="430"/>
      <c r="AD30" s="430" t="str">
        <f ca="1">language!A28</f>
        <v>№ запроса</v>
      </c>
      <c r="AE30" s="540"/>
      <c r="AF30" s="541"/>
      <c r="AG30" s="541"/>
      <c r="AH30" s="541"/>
      <c r="AI30" s="541"/>
      <c r="AJ30" s="541"/>
      <c r="AK30" s="541"/>
      <c r="AL30" s="541"/>
      <c r="AM30" s="541"/>
      <c r="AN30" s="542"/>
      <c r="AO30" s="408"/>
      <c r="AP30" s="494"/>
      <c r="AQ30" s="342"/>
      <c r="AR30" s="358"/>
      <c r="AS30" s="358"/>
      <c r="AT30" s="358"/>
    </row>
    <row r="31" spans="1:46" ht="9" customHeight="1">
      <c r="A31" s="342"/>
      <c r="C31" s="424"/>
      <c r="D31" s="425"/>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4"/>
      <c r="AP31" s="494"/>
      <c r="AQ31" s="342"/>
      <c r="AR31" s="358"/>
      <c r="AS31" s="358"/>
      <c r="AT31" s="358"/>
    </row>
    <row r="32" spans="1:46" ht="6" customHeight="1">
      <c r="A32" s="342"/>
      <c r="C32" s="396"/>
      <c r="D32" s="422"/>
      <c r="E32" s="418"/>
      <c r="F32" s="418"/>
      <c r="G32" s="418"/>
      <c r="H32" s="418"/>
      <c r="I32" s="418"/>
      <c r="J32" s="418"/>
      <c r="K32" s="418"/>
      <c r="L32" s="418"/>
      <c r="M32" s="418"/>
      <c r="N32" s="418"/>
      <c r="O32" s="418"/>
      <c r="P32" s="418"/>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494"/>
      <c r="AQ32" s="342"/>
      <c r="AR32" s="358"/>
      <c r="AS32" s="358"/>
      <c r="AT32" s="358"/>
    </row>
    <row r="33" spans="1:46" ht="6" customHeight="1">
      <c r="A33" s="342"/>
      <c r="C33" s="415"/>
      <c r="D33" s="416"/>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5"/>
      <c r="AP33" s="494"/>
      <c r="AQ33" s="342"/>
      <c r="AR33" s="358"/>
      <c r="AS33" s="358"/>
      <c r="AT33" s="358"/>
    </row>
    <row r="34" spans="1:46" ht="12.75" customHeight="1">
      <c r="A34" s="342"/>
      <c r="C34" s="417"/>
      <c r="D34" s="422"/>
      <c r="E34" s="530" t="str">
        <f ca="1">language!A34</f>
        <v>Исход. данные</v>
      </c>
      <c r="F34" s="530"/>
      <c r="G34" s="530"/>
      <c r="H34" s="530"/>
      <c r="I34" s="530"/>
      <c r="J34" s="530"/>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08"/>
      <c r="AP34" s="494"/>
      <c r="AQ34" s="342"/>
      <c r="AR34" s="358"/>
      <c r="AS34" s="358"/>
      <c r="AT34" s="358"/>
    </row>
    <row r="35" spans="1:46" ht="7.5" customHeight="1">
      <c r="A35" s="342"/>
      <c r="C35" s="417"/>
      <c r="D35" s="397"/>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408"/>
      <c r="AP35" s="494"/>
      <c r="AQ35" s="342"/>
      <c r="AR35" s="358"/>
      <c r="AS35" s="358"/>
      <c r="AT35" s="358"/>
    </row>
    <row r="36" spans="1:46" ht="15.75">
      <c r="A36" s="342"/>
      <c r="C36" s="417"/>
      <c r="D36" s="426"/>
      <c r="E36" s="508" t="str">
        <f ca="1">language!A35</f>
        <v>Размер счётчика</v>
      </c>
      <c r="F36" s="508"/>
      <c r="G36" s="508"/>
      <c r="H36" s="508"/>
      <c r="I36" s="508"/>
      <c r="J36" s="519"/>
      <c r="K36" s="516"/>
      <c r="L36" s="517"/>
      <c r="M36" s="517"/>
      <c r="N36" s="517"/>
      <c r="O36" s="518"/>
      <c r="P36" s="396"/>
      <c r="Q36" s="426"/>
      <c r="R36" s="396"/>
      <c r="S36" s="427"/>
      <c r="T36" s="427"/>
      <c r="U36" s="427"/>
      <c r="V36" s="430" t="str">
        <f ca="1">language!A36</f>
        <v>Кол-во лучей</v>
      </c>
      <c r="W36" s="516"/>
      <c r="X36" s="517"/>
      <c r="Y36" s="517"/>
      <c r="Z36" s="518"/>
      <c r="AA36" s="410"/>
      <c r="AB36" s="418"/>
      <c r="AC36" s="418"/>
      <c r="AD36" s="420"/>
      <c r="AE36" s="528" t="str">
        <f ca="1">language!A37</f>
        <v>G-класс</v>
      </c>
      <c r="AF36" s="528"/>
      <c r="AG36" s="528"/>
      <c r="AH36" s="528"/>
      <c r="AI36" s="516"/>
      <c r="AJ36" s="517"/>
      <c r="AK36" s="517"/>
      <c r="AL36" s="517"/>
      <c r="AM36" s="517"/>
      <c r="AN36" s="518"/>
      <c r="AO36" s="408"/>
      <c r="AP36" s="494"/>
      <c r="AQ36" s="342"/>
      <c r="AR36" s="358"/>
      <c r="AS36" s="358"/>
      <c r="AT36" s="358"/>
    </row>
    <row r="37" spans="1:46" ht="9" customHeight="1">
      <c r="A37" s="342"/>
      <c r="C37" s="424"/>
      <c r="D37" s="425"/>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4"/>
      <c r="AP37" s="494"/>
      <c r="AQ37" s="342"/>
      <c r="AR37" s="358"/>
      <c r="AS37" s="358"/>
      <c r="AT37" s="358"/>
    </row>
    <row r="38" spans="1:46" ht="6" customHeight="1">
      <c r="A38" s="342"/>
      <c r="C38" s="418"/>
      <c r="D38" s="397"/>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494"/>
      <c r="AQ38" s="342"/>
      <c r="AR38" s="358"/>
      <c r="AS38" s="358"/>
      <c r="AT38" s="358"/>
    </row>
    <row r="39" spans="1:46" ht="6" customHeight="1">
      <c r="A39" s="342"/>
      <c r="C39" s="415"/>
      <c r="D39" s="416"/>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5"/>
      <c r="AP39" s="494"/>
      <c r="AQ39" s="342"/>
      <c r="AR39" s="358"/>
      <c r="AS39" s="358"/>
      <c r="AT39" s="358"/>
    </row>
    <row r="40" spans="1:46" ht="14.25" customHeight="1">
      <c r="A40" s="342"/>
      <c r="C40" s="417"/>
      <c r="D40" s="422"/>
      <c r="E40" s="530" t="str">
        <f ca="1">language!A39</f>
        <v>Измеряемая среда</v>
      </c>
      <c r="F40" s="530"/>
      <c r="G40" s="530"/>
      <c r="H40" s="530"/>
      <c r="I40" s="530"/>
      <c r="J40" s="530"/>
      <c r="K40" s="530"/>
      <c r="L40" s="530"/>
      <c r="M40" s="428"/>
      <c r="N40" s="396"/>
      <c r="O40" s="420"/>
      <c r="P40" s="420"/>
      <c r="Q40" s="420" t="str">
        <f ca="1">language!A40</f>
        <v>Газ</v>
      </c>
      <c r="R40" s="513"/>
      <c r="S40" s="514"/>
      <c r="T40" s="514"/>
      <c r="U40" s="514"/>
      <c r="V40" s="514"/>
      <c r="W40" s="515"/>
      <c r="X40" s="396"/>
      <c r="Y40" s="428"/>
      <c r="Z40" s="420"/>
      <c r="AA40" s="420"/>
      <c r="AB40" s="420"/>
      <c r="AC40" s="420"/>
      <c r="AD40" s="396"/>
      <c r="AE40" s="420" t="str">
        <f ca="1">language!A44</f>
        <v>Агрессивность</v>
      </c>
      <c r="AF40" s="591"/>
      <c r="AG40" s="592"/>
      <c r="AH40" s="592"/>
      <c r="AI40" s="592"/>
      <c r="AJ40" s="592"/>
      <c r="AK40" s="592"/>
      <c r="AL40" s="593"/>
      <c r="AM40" s="418"/>
      <c r="AN40" s="418"/>
      <c r="AO40" s="408"/>
      <c r="AP40" s="494"/>
      <c r="AQ40" s="342"/>
      <c r="AR40" s="358"/>
      <c r="AS40" s="358"/>
      <c r="AT40" s="358"/>
    </row>
    <row r="41" spans="1:46" ht="9" customHeight="1">
      <c r="A41" s="342"/>
      <c r="C41" s="417"/>
      <c r="D41" s="422"/>
      <c r="E41" s="595" t="str">
        <f ca="1">IF(Gasart=Gas_O2,Hinweis_Öl,IF(Gasart=Gas_CO2,Hinweis_keinöl,IF(Gasart=Gas_H2,Hinweis_keinöl,"")))</f>
        <v/>
      </c>
      <c r="F41" s="595"/>
      <c r="G41" s="595"/>
      <c r="H41" s="595"/>
      <c r="I41" s="595"/>
      <c r="J41" s="595"/>
      <c r="K41" s="595"/>
      <c r="L41" s="595"/>
      <c r="M41" s="595"/>
      <c r="N41" s="595"/>
      <c r="O41" s="595"/>
      <c r="P41" s="595"/>
      <c r="Q41" s="595"/>
      <c r="R41" s="595"/>
      <c r="S41" s="595"/>
      <c r="T41" s="595"/>
      <c r="U41" s="595"/>
      <c r="V41" s="595"/>
      <c r="W41" s="595"/>
      <c r="X41" s="418"/>
      <c r="Y41" s="418"/>
      <c r="Z41" s="418"/>
      <c r="AA41" s="418"/>
      <c r="AB41" s="418"/>
      <c r="AC41" s="418"/>
      <c r="AD41" s="418"/>
      <c r="AE41" s="418"/>
      <c r="AF41" s="418"/>
      <c r="AG41" s="418"/>
      <c r="AH41" s="418"/>
      <c r="AI41" s="418"/>
      <c r="AJ41" s="418"/>
      <c r="AK41" s="418"/>
      <c r="AL41" s="418"/>
      <c r="AM41" s="418"/>
      <c r="AN41" s="418"/>
      <c r="AO41" s="408"/>
      <c r="AP41" s="494"/>
      <c r="AQ41" s="342"/>
      <c r="AR41" s="358"/>
      <c r="AS41" s="358"/>
      <c r="AT41" s="358"/>
    </row>
    <row r="42" spans="1:46" ht="15" customHeight="1">
      <c r="A42" s="342"/>
      <c r="C42" s="417"/>
      <c r="D42" s="422"/>
      <c r="E42" s="595"/>
      <c r="F42" s="595"/>
      <c r="G42" s="595"/>
      <c r="H42" s="595"/>
      <c r="I42" s="595"/>
      <c r="J42" s="595"/>
      <c r="K42" s="595"/>
      <c r="L42" s="595"/>
      <c r="M42" s="595"/>
      <c r="N42" s="595"/>
      <c r="O42" s="595"/>
      <c r="P42" s="595"/>
      <c r="Q42" s="595"/>
      <c r="R42" s="595"/>
      <c r="S42" s="595"/>
      <c r="T42" s="595"/>
      <c r="U42" s="595"/>
      <c r="V42" s="595"/>
      <c r="W42" s="595"/>
      <c r="X42" s="418"/>
      <c r="Y42" s="418"/>
      <c r="Z42" s="418"/>
      <c r="AA42" s="418"/>
      <c r="AB42" s="418"/>
      <c r="AC42" s="418"/>
      <c r="AD42" s="418"/>
      <c r="AE42" s="420" t="str">
        <f ca="1">language!A41</f>
        <v>Конденсат</v>
      </c>
      <c r="AF42" s="591"/>
      <c r="AG42" s="592"/>
      <c r="AH42" s="592"/>
      <c r="AI42" s="592"/>
      <c r="AJ42" s="592"/>
      <c r="AK42" s="592"/>
      <c r="AL42" s="593"/>
      <c r="AM42" s="418"/>
      <c r="AN42" s="418"/>
      <c r="AO42" s="408"/>
      <c r="AP42" s="494"/>
      <c r="AQ42" s="342"/>
      <c r="AR42" s="358"/>
      <c r="AS42" s="358"/>
      <c r="AT42" s="358"/>
    </row>
    <row r="43" spans="1:46" ht="9" customHeight="1">
      <c r="A43" s="342"/>
      <c r="C43" s="417"/>
      <c r="D43" s="422"/>
      <c r="E43" s="595"/>
      <c r="F43" s="595"/>
      <c r="G43" s="595"/>
      <c r="H43" s="595"/>
      <c r="I43" s="595"/>
      <c r="J43" s="595"/>
      <c r="K43" s="595"/>
      <c r="L43" s="595"/>
      <c r="M43" s="595"/>
      <c r="N43" s="595"/>
      <c r="O43" s="595"/>
      <c r="P43" s="595"/>
      <c r="Q43" s="595"/>
      <c r="R43" s="595"/>
      <c r="S43" s="595"/>
      <c r="T43" s="595"/>
      <c r="U43" s="595"/>
      <c r="V43" s="595"/>
      <c r="W43" s="595"/>
      <c r="X43" s="418"/>
      <c r="Y43" s="418"/>
      <c r="Z43" s="418"/>
      <c r="AA43" s="418"/>
      <c r="AB43" s="418"/>
      <c r="AC43" s="418"/>
      <c r="AD43" s="418"/>
      <c r="AE43" s="418"/>
      <c r="AF43" s="418"/>
      <c r="AG43" s="418"/>
      <c r="AH43" s="418"/>
      <c r="AI43" s="418"/>
      <c r="AJ43" s="418"/>
      <c r="AK43" s="418"/>
      <c r="AL43" s="418"/>
      <c r="AM43" s="418"/>
      <c r="AN43" s="418"/>
      <c r="AO43" s="408"/>
      <c r="AP43" s="494"/>
      <c r="AQ43" s="342"/>
      <c r="AR43" s="358"/>
      <c r="AS43" s="358"/>
      <c r="AT43" s="358"/>
    </row>
    <row r="44" spans="1:46" ht="15.75">
      <c r="A44" s="342"/>
      <c r="C44" s="417"/>
      <c r="D44" s="422"/>
      <c r="E44" s="396"/>
      <c r="F44" s="396"/>
      <c r="G44" s="396"/>
      <c r="H44" s="396"/>
      <c r="I44" s="396"/>
      <c r="J44" s="396"/>
      <c r="K44" s="396"/>
      <c r="L44" s="396"/>
      <c r="M44" s="396"/>
      <c r="N44" s="396"/>
      <c r="O44" s="396"/>
      <c r="P44" s="396"/>
      <c r="Q44" s="396"/>
      <c r="R44" s="396"/>
      <c r="S44" s="396"/>
      <c r="T44" s="396"/>
      <c r="U44" s="396"/>
      <c r="V44" s="396"/>
      <c r="W44" s="396"/>
      <c r="X44" s="502" t="str">
        <f>"(44)"</f>
        <v>(44)</v>
      </c>
      <c r="Y44" s="428"/>
      <c r="Z44" s="420"/>
      <c r="AA44" s="420"/>
      <c r="AB44" s="420"/>
      <c r="AC44" s="420"/>
      <c r="AD44" s="396"/>
      <c r="AE44" s="420" t="str">
        <f ca="1">language!A42</f>
        <v>Содерж. жидкости</v>
      </c>
      <c r="AF44" s="591"/>
      <c r="AG44" s="592"/>
      <c r="AH44" s="592"/>
      <c r="AI44" s="592"/>
      <c r="AJ44" s="592"/>
      <c r="AK44" s="592"/>
      <c r="AL44" s="593"/>
      <c r="AM44" s="569" t="s">
        <v>628</v>
      </c>
      <c r="AN44" s="569"/>
      <c r="AO44" s="408"/>
      <c r="AP44" s="494"/>
      <c r="AQ44" s="342"/>
      <c r="AR44" s="358"/>
      <c r="AS44" s="358"/>
      <c r="AT44" s="358"/>
    </row>
    <row r="45" spans="1:46" ht="9" customHeight="1">
      <c r="A45" s="342"/>
      <c r="C45" s="417"/>
      <c r="D45" s="422"/>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08"/>
      <c r="AP45" s="494"/>
      <c r="AQ45" s="342"/>
      <c r="AR45" s="358"/>
      <c r="AS45" s="358"/>
      <c r="AT45" s="358"/>
    </row>
    <row r="46" spans="1:46" ht="15.75">
      <c r="A46" s="342"/>
      <c r="C46" s="417"/>
      <c r="D46" s="422"/>
      <c r="E46" s="530" t="str">
        <f ca="1">language!A43</f>
        <v>Состав газа</v>
      </c>
      <c r="F46" s="530"/>
      <c r="G46" s="530"/>
      <c r="H46" s="530"/>
      <c r="I46" s="530"/>
      <c r="J46" s="530"/>
      <c r="K46" s="530"/>
      <c r="L46" s="530"/>
      <c r="M46" s="418">
        <v>1</v>
      </c>
      <c r="N46" s="547" t="s">
        <v>1128</v>
      </c>
      <c r="O46" s="548"/>
      <c r="P46" s="548"/>
      <c r="Q46" s="548"/>
      <c r="R46" s="548"/>
      <c r="S46" s="548"/>
      <c r="T46" s="548"/>
      <c r="U46" s="549"/>
      <c r="V46" s="564"/>
      <c r="W46" s="565"/>
      <c r="X46" s="558" t="str">
        <f>Data!DT4</f>
        <v/>
      </c>
      <c r="Y46" s="558"/>
      <c r="Z46" s="429"/>
      <c r="AA46" s="429"/>
      <c r="AB46" s="429">
        <v>2</v>
      </c>
      <c r="AC46" s="547" t="s">
        <v>1121</v>
      </c>
      <c r="AD46" s="548"/>
      <c r="AE46" s="548"/>
      <c r="AF46" s="548"/>
      <c r="AG46" s="548"/>
      <c r="AH46" s="548"/>
      <c r="AI46" s="548"/>
      <c r="AJ46" s="549"/>
      <c r="AK46" s="564"/>
      <c r="AL46" s="565"/>
      <c r="AM46" s="508" t="str">
        <f>X46</f>
        <v/>
      </c>
      <c r="AN46" s="508"/>
      <c r="AO46" s="408"/>
      <c r="AP46" s="494"/>
      <c r="AQ46" s="342"/>
      <c r="AR46" s="358"/>
      <c r="AS46" s="358"/>
      <c r="AT46" s="358"/>
    </row>
    <row r="47" spans="1:46" ht="9" customHeight="1">
      <c r="A47" s="342"/>
      <c r="B47" s="347"/>
      <c r="C47" s="406"/>
      <c r="D47" s="407"/>
      <c r="E47" s="482"/>
      <c r="F47" s="419"/>
      <c r="G47" s="419"/>
      <c r="H47" s="419"/>
      <c r="I47" s="419"/>
      <c r="J47" s="418"/>
      <c r="K47" s="419"/>
      <c r="L47" s="419"/>
      <c r="M47" s="418"/>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19"/>
      <c r="AN47" s="419"/>
      <c r="AO47" s="408"/>
      <c r="AP47" s="494"/>
      <c r="AQ47" s="342"/>
      <c r="AR47" s="358"/>
      <c r="AS47" s="358"/>
      <c r="AT47" s="358"/>
    </row>
    <row r="48" spans="1:46" ht="15.75">
      <c r="A48" s="342"/>
      <c r="B48" s="347"/>
      <c r="C48" s="406"/>
      <c r="D48" s="407"/>
      <c r="E48" s="419"/>
      <c r="F48" s="419"/>
      <c r="G48" s="419"/>
      <c r="H48" s="419"/>
      <c r="I48" s="431"/>
      <c r="J48" s="418"/>
      <c r="K48" s="418"/>
      <c r="L48" s="418"/>
      <c r="M48" s="418">
        <v>3</v>
      </c>
      <c r="N48" s="547" t="s">
        <v>903</v>
      </c>
      <c r="O48" s="548"/>
      <c r="P48" s="548"/>
      <c r="Q48" s="548"/>
      <c r="R48" s="548"/>
      <c r="S48" s="548"/>
      <c r="T48" s="548"/>
      <c r="U48" s="549"/>
      <c r="V48" s="564"/>
      <c r="W48" s="565"/>
      <c r="X48" s="558" t="str">
        <f>X46</f>
        <v/>
      </c>
      <c r="Y48" s="558"/>
      <c r="Z48" s="429"/>
      <c r="AA48" s="429"/>
      <c r="AB48" s="429">
        <v>4</v>
      </c>
      <c r="AC48" s="547" t="s">
        <v>1120</v>
      </c>
      <c r="AD48" s="548"/>
      <c r="AE48" s="548"/>
      <c r="AF48" s="548"/>
      <c r="AG48" s="548"/>
      <c r="AH48" s="548"/>
      <c r="AI48" s="548"/>
      <c r="AJ48" s="549"/>
      <c r="AK48" s="564"/>
      <c r="AL48" s="565"/>
      <c r="AM48" s="508" t="str">
        <f>AM46</f>
        <v/>
      </c>
      <c r="AN48" s="508"/>
      <c r="AO48" s="408"/>
      <c r="AP48" s="494"/>
      <c r="AQ48" s="342"/>
      <c r="AR48" s="358"/>
      <c r="AS48" s="358"/>
      <c r="AT48" s="358"/>
    </row>
    <row r="49" spans="1:46" s="348" customFormat="1" ht="9" customHeight="1">
      <c r="A49" s="343"/>
      <c r="B49" s="347"/>
      <c r="C49" s="406"/>
      <c r="D49" s="407"/>
      <c r="E49" s="419"/>
      <c r="F49" s="419"/>
      <c r="G49" s="419"/>
      <c r="H49" s="419"/>
      <c r="I49" s="419"/>
      <c r="J49" s="418"/>
      <c r="K49" s="419"/>
      <c r="L49" s="419"/>
      <c r="M49" s="418"/>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19"/>
      <c r="AN49" s="419"/>
      <c r="AO49" s="408"/>
      <c r="AP49" s="494"/>
      <c r="AQ49" s="343"/>
      <c r="AR49" s="352"/>
      <c r="AS49" s="352"/>
      <c r="AT49" s="352"/>
    </row>
    <row r="50" spans="1:46" ht="15.75">
      <c r="A50" s="342"/>
      <c r="C50" s="417"/>
      <c r="D50" s="422"/>
      <c r="E50" s="418"/>
      <c r="F50" s="418"/>
      <c r="G50" s="418"/>
      <c r="H50" s="418"/>
      <c r="I50" s="431"/>
      <c r="J50" s="418"/>
      <c r="K50" s="418"/>
      <c r="L50" s="418"/>
      <c r="M50" s="418">
        <v>5</v>
      </c>
      <c r="N50" s="547" t="s">
        <v>901</v>
      </c>
      <c r="O50" s="548"/>
      <c r="P50" s="548"/>
      <c r="Q50" s="548"/>
      <c r="R50" s="548"/>
      <c r="S50" s="548"/>
      <c r="T50" s="548"/>
      <c r="U50" s="549"/>
      <c r="V50" s="564"/>
      <c r="W50" s="565"/>
      <c r="X50" s="558" t="str">
        <f>X48</f>
        <v/>
      </c>
      <c r="Y50" s="558"/>
      <c r="Z50" s="429"/>
      <c r="AA50" s="429"/>
      <c r="AB50" s="429">
        <v>6</v>
      </c>
      <c r="AC50" s="547" t="s">
        <v>1123</v>
      </c>
      <c r="AD50" s="548"/>
      <c r="AE50" s="548"/>
      <c r="AF50" s="548"/>
      <c r="AG50" s="548"/>
      <c r="AH50" s="548"/>
      <c r="AI50" s="548"/>
      <c r="AJ50" s="549"/>
      <c r="AK50" s="564"/>
      <c r="AL50" s="565"/>
      <c r="AM50" s="508" t="str">
        <f>AM48</f>
        <v/>
      </c>
      <c r="AN50" s="508"/>
      <c r="AO50" s="408"/>
      <c r="AP50" s="494"/>
      <c r="AQ50" s="342"/>
      <c r="AR50" s="358"/>
      <c r="AS50" s="358"/>
      <c r="AT50" s="358"/>
    </row>
    <row r="51" spans="1:46" s="348" customFormat="1" ht="9" customHeight="1">
      <c r="A51" s="343"/>
      <c r="B51" s="345"/>
      <c r="C51" s="417"/>
      <c r="D51" s="422"/>
      <c r="E51" s="419"/>
      <c r="F51" s="418"/>
      <c r="G51" s="418"/>
      <c r="H51" s="418"/>
      <c r="I51" s="419"/>
      <c r="J51" s="418"/>
      <c r="K51" s="419"/>
      <c r="L51" s="419"/>
      <c r="M51" s="418"/>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19"/>
      <c r="AN51" s="419"/>
      <c r="AO51" s="408"/>
      <c r="AP51" s="494"/>
      <c r="AQ51" s="343"/>
      <c r="AR51" s="352"/>
      <c r="AS51" s="352"/>
      <c r="AT51" s="352"/>
    </row>
    <row r="52" spans="1:46" ht="15.75">
      <c r="A52" s="342"/>
      <c r="C52" s="417"/>
      <c r="D52" s="422"/>
      <c r="E52" s="418"/>
      <c r="F52" s="418"/>
      <c r="G52" s="418"/>
      <c r="H52" s="418"/>
      <c r="I52" s="431"/>
      <c r="J52" s="418"/>
      <c r="K52" s="418"/>
      <c r="L52" s="418"/>
      <c r="M52" s="418">
        <v>7</v>
      </c>
      <c r="N52" s="547" t="s">
        <v>902</v>
      </c>
      <c r="O52" s="548"/>
      <c r="P52" s="548"/>
      <c r="Q52" s="548"/>
      <c r="R52" s="548"/>
      <c r="S52" s="548"/>
      <c r="T52" s="548"/>
      <c r="U52" s="549"/>
      <c r="V52" s="564"/>
      <c r="W52" s="565"/>
      <c r="X52" s="558" t="str">
        <f>X50</f>
        <v/>
      </c>
      <c r="Y52" s="558"/>
      <c r="Z52" s="429"/>
      <c r="AA52" s="429"/>
      <c r="AB52" s="429">
        <v>8</v>
      </c>
      <c r="AC52" s="547" t="s">
        <v>900</v>
      </c>
      <c r="AD52" s="548"/>
      <c r="AE52" s="548"/>
      <c r="AF52" s="548"/>
      <c r="AG52" s="548"/>
      <c r="AH52" s="548"/>
      <c r="AI52" s="548"/>
      <c r="AJ52" s="549"/>
      <c r="AK52" s="564"/>
      <c r="AL52" s="565"/>
      <c r="AM52" s="508" t="str">
        <f>AM50</f>
        <v/>
      </c>
      <c r="AN52" s="508"/>
      <c r="AO52" s="408"/>
      <c r="AP52" s="494"/>
      <c r="AQ52" s="342"/>
      <c r="AR52" s="358"/>
      <c r="AS52" s="358"/>
      <c r="AT52" s="358"/>
    </row>
    <row r="53" spans="1:46" s="348" customFormat="1" ht="24" customHeight="1">
      <c r="A53" s="343"/>
      <c r="B53" s="345"/>
      <c r="C53" s="417"/>
      <c r="D53" s="422"/>
      <c r="E53" s="419"/>
      <c r="F53" s="418"/>
      <c r="G53" s="418"/>
      <c r="H53" s="418"/>
      <c r="I53" s="419"/>
      <c r="J53" s="418"/>
      <c r="K53" s="419"/>
      <c r="L53" s="419"/>
      <c r="M53" s="418"/>
      <c r="N53" s="563" t="str">
        <f>IF((V46+V48+V50+V52+AK46+AK48+AK50+AK52)&gt;100,language!A51,"")</f>
        <v/>
      </c>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408"/>
      <c r="AP53" s="494"/>
      <c r="AQ53" s="343"/>
      <c r="AR53" s="352"/>
      <c r="AS53" s="352"/>
      <c r="AT53" s="352"/>
    </row>
    <row r="54" spans="1:46" s="348" customFormat="1" ht="14.25" customHeight="1">
      <c r="A54" s="343"/>
      <c r="B54" s="345"/>
      <c r="C54" s="417"/>
      <c r="D54" s="422"/>
      <c r="E54" s="530" t="str">
        <f ca="1">language!A45</f>
        <v>Регулятор давления</v>
      </c>
      <c r="F54" s="530"/>
      <c r="G54" s="530"/>
      <c r="H54" s="530"/>
      <c r="I54" s="530"/>
      <c r="J54" s="530"/>
      <c r="K54" s="530"/>
      <c r="L54" s="530"/>
      <c r="M54" s="418"/>
      <c r="N54" s="513"/>
      <c r="O54" s="514"/>
      <c r="P54" s="514"/>
      <c r="Q54" s="514"/>
      <c r="R54" s="514"/>
      <c r="S54" s="514"/>
      <c r="T54" s="514"/>
      <c r="U54" s="514"/>
      <c r="V54" s="514"/>
      <c r="W54" s="515"/>
      <c r="X54" s="419"/>
      <c r="Y54" s="557" t="str">
        <f>IF(OR(LEFT(N54,2)="ja",LEFT(N54,3)="yes",LEFT(N54,2)="да"),language!A49,"")</f>
        <v/>
      </c>
      <c r="Z54" s="557"/>
      <c r="AA54" s="557"/>
      <c r="AB54" s="557"/>
      <c r="AC54" s="557"/>
      <c r="AD54" s="557"/>
      <c r="AE54" s="554"/>
      <c r="AF54" s="554"/>
      <c r="AG54" s="554"/>
      <c r="AH54" s="554"/>
      <c r="AI54" s="554"/>
      <c r="AJ54" s="554"/>
      <c r="AK54" s="554"/>
      <c r="AL54" s="554"/>
      <c r="AM54" s="555"/>
      <c r="AN54" s="555"/>
      <c r="AO54" s="408"/>
      <c r="AP54" s="494"/>
      <c r="AQ54" s="343"/>
      <c r="AR54" s="352"/>
      <c r="AS54" s="352"/>
      <c r="AT54" s="352"/>
    </row>
    <row r="55" spans="1:46" s="348" customFormat="1" ht="9" customHeight="1">
      <c r="A55" s="343"/>
      <c r="B55" s="345"/>
      <c r="C55" s="417"/>
      <c r="D55" s="422"/>
      <c r="E55" s="419"/>
      <c r="F55" s="418"/>
      <c r="G55" s="418"/>
      <c r="H55" s="418"/>
      <c r="I55" s="419"/>
      <c r="J55" s="418"/>
      <c r="K55" s="419"/>
      <c r="L55" s="419"/>
      <c r="M55" s="418"/>
      <c r="N55" s="418"/>
      <c r="O55" s="418"/>
      <c r="P55" s="418"/>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08"/>
      <c r="AP55" s="494"/>
      <c r="AQ55" s="343"/>
      <c r="AR55" s="352"/>
      <c r="AS55" s="352"/>
      <c r="AT55" s="352"/>
    </row>
    <row r="56" spans="1:46" s="348" customFormat="1" ht="14.25" customHeight="1">
      <c r="A56" s="343"/>
      <c r="B56" s="345"/>
      <c r="C56" s="417"/>
      <c r="D56" s="422"/>
      <c r="E56" s="419"/>
      <c r="F56" s="418"/>
      <c r="G56" s="418"/>
      <c r="H56" s="418"/>
      <c r="I56" s="419"/>
      <c r="J56" s="418"/>
      <c r="K56" s="419"/>
      <c r="L56" s="419"/>
      <c r="M56" s="418"/>
      <c r="N56" s="418"/>
      <c r="O56" s="418"/>
      <c r="P56" s="418"/>
      <c r="Q56" s="419"/>
      <c r="R56" s="419"/>
      <c r="S56" s="419"/>
      <c r="T56" s="419"/>
      <c r="U56" s="419"/>
      <c r="V56" s="419"/>
      <c r="W56" s="419"/>
      <c r="X56" s="419"/>
      <c r="Y56" s="419"/>
      <c r="Z56" s="419"/>
      <c r="AA56" s="419"/>
      <c r="AB56" s="419"/>
      <c r="AC56" s="419"/>
      <c r="AD56" s="430" t="str">
        <f>IF(OR(LEFT(N54,2)="ja",LEFT(N54,3)="yes",LEFT(N54,2)="да"),language!A50,"")</f>
        <v/>
      </c>
      <c r="AE56" s="554"/>
      <c r="AF56" s="554"/>
      <c r="AG56" s="554"/>
      <c r="AH56" s="554"/>
      <c r="AI56" s="554"/>
      <c r="AJ56" s="554"/>
      <c r="AK56" s="554"/>
      <c r="AL56" s="554"/>
      <c r="AM56" s="555"/>
      <c r="AN56" s="555"/>
      <c r="AO56" s="408"/>
      <c r="AP56" s="494"/>
      <c r="AQ56" s="343"/>
      <c r="AR56" s="352"/>
      <c r="AS56" s="352"/>
      <c r="AT56" s="352"/>
    </row>
    <row r="57" spans="1:46" s="348" customFormat="1" ht="9" customHeight="1">
      <c r="A57" s="343"/>
      <c r="B57" s="345"/>
      <c r="C57" s="424"/>
      <c r="D57" s="425"/>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4"/>
      <c r="AP57" s="494"/>
      <c r="AQ57" s="343"/>
      <c r="AR57" s="352"/>
      <c r="AS57" s="352"/>
      <c r="AT57" s="352"/>
    </row>
    <row r="58" spans="1:46" ht="6" customHeight="1">
      <c r="A58" s="342"/>
      <c r="C58" s="418"/>
      <c r="D58" s="397"/>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494"/>
      <c r="AQ58" s="342"/>
      <c r="AR58" s="358"/>
      <c r="AS58" s="358"/>
      <c r="AT58" s="358"/>
    </row>
    <row r="59" spans="1:46" ht="6" customHeight="1">
      <c r="A59" s="342"/>
      <c r="C59" s="415"/>
      <c r="D59" s="416"/>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5"/>
      <c r="AP59" s="494"/>
      <c r="AQ59" s="342"/>
      <c r="AR59" s="358"/>
      <c r="AS59" s="358"/>
      <c r="AT59" s="358"/>
    </row>
    <row r="60" spans="1:46" ht="15.75">
      <c r="A60" s="342"/>
      <c r="C60" s="417"/>
      <c r="D60" s="422"/>
      <c r="E60" s="530" t="str">
        <f ca="1">language!A53</f>
        <v>Параметры процесса</v>
      </c>
      <c r="F60" s="530"/>
      <c r="G60" s="530"/>
      <c r="H60" s="530"/>
      <c r="I60" s="530"/>
      <c r="J60" s="530"/>
      <c r="K60" s="530"/>
      <c r="L60" s="530"/>
      <c r="M60" s="530"/>
      <c r="N60" s="556" t="str">
        <f ca="1">language!A54</f>
        <v>Мин.</v>
      </c>
      <c r="O60" s="556"/>
      <c r="P60" s="556"/>
      <c r="Q60" s="556"/>
      <c r="R60" s="418"/>
      <c r="S60" s="418"/>
      <c r="T60" s="418"/>
      <c r="U60" s="418"/>
      <c r="V60" s="556" t="str">
        <f ca="1">language!A56</f>
        <v>Норма</v>
      </c>
      <c r="W60" s="556"/>
      <c r="X60" s="556"/>
      <c r="Y60" s="556"/>
      <c r="Z60" s="418"/>
      <c r="AA60" s="418"/>
      <c r="AB60" s="418"/>
      <c r="AC60" s="418"/>
      <c r="AD60" s="556" t="str">
        <f ca="1">language!A55</f>
        <v>Макс.</v>
      </c>
      <c r="AE60" s="556"/>
      <c r="AF60" s="556"/>
      <c r="AG60" s="556"/>
      <c r="AH60" s="418"/>
      <c r="AI60" s="418"/>
      <c r="AJ60" s="418"/>
      <c r="AK60" s="418"/>
      <c r="AL60" s="418"/>
      <c r="AM60" s="418"/>
      <c r="AN60" s="418"/>
      <c r="AO60" s="408"/>
      <c r="AP60" s="494"/>
      <c r="AQ60" s="342"/>
      <c r="AR60" s="358"/>
      <c r="AS60" s="358"/>
      <c r="AT60" s="358"/>
    </row>
    <row r="61" spans="1:46" ht="7.5" customHeight="1">
      <c r="A61" s="342"/>
      <c r="C61" s="417"/>
      <c r="D61" s="422"/>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08"/>
      <c r="AP61" s="494"/>
      <c r="AQ61" s="342"/>
      <c r="AR61" s="358"/>
      <c r="AS61" s="358"/>
      <c r="AT61" s="358"/>
    </row>
    <row r="62" spans="1:46" ht="15.75">
      <c r="A62" s="342"/>
      <c r="C62" s="417"/>
      <c r="D62" s="426"/>
      <c r="E62" s="508" t="str">
        <f ca="1">language!A57</f>
        <v>Объемный расход (р.у.)</v>
      </c>
      <c r="F62" s="508"/>
      <c r="G62" s="508"/>
      <c r="H62" s="508"/>
      <c r="I62" s="508"/>
      <c r="J62" s="508"/>
      <c r="K62" s="508"/>
      <c r="L62" s="508"/>
      <c r="M62" s="519"/>
      <c r="N62" s="513"/>
      <c r="O62" s="514"/>
      <c r="P62" s="514"/>
      <c r="Q62" s="515"/>
      <c r="R62" s="526" t="s">
        <v>1219</v>
      </c>
      <c r="S62" s="527"/>
      <c r="T62" s="527"/>
      <c r="U62" s="418"/>
      <c r="V62" s="516"/>
      <c r="W62" s="517"/>
      <c r="X62" s="517"/>
      <c r="Y62" s="518"/>
      <c r="Z62" s="559" t="str">
        <f>R62</f>
        <v>м³/ч</v>
      </c>
      <c r="AA62" s="559"/>
      <c r="AB62" s="418"/>
      <c r="AC62" s="418"/>
      <c r="AD62" s="513"/>
      <c r="AE62" s="514"/>
      <c r="AF62" s="514"/>
      <c r="AG62" s="515"/>
      <c r="AH62" s="560" t="str">
        <f>R62</f>
        <v>м³/ч</v>
      </c>
      <c r="AI62" s="559"/>
      <c r="AJ62" s="418"/>
      <c r="AK62" s="418"/>
      <c r="AL62" s="418"/>
      <c r="AM62" s="418"/>
      <c r="AN62" s="418"/>
      <c r="AO62" s="408"/>
      <c r="AP62" s="494"/>
      <c r="AQ62" s="350"/>
      <c r="AR62" s="358" t="e">
        <f ca="1">flow_min</f>
        <v>#N/A</v>
      </c>
      <c r="AS62" s="358" t="e">
        <f ca="1">flow_max</f>
        <v>#N/A</v>
      </c>
      <c r="AT62" s="358"/>
    </row>
    <row r="63" spans="1:46" ht="9" customHeight="1">
      <c r="A63" s="342"/>
      <c r="C63" s="417"/>
      <c r="D63" s="422"/>
      <c r="E63" s="419"/>
      <c r="F63" s="419"/>
      <c r="G63" s="418"/>
      <c r="H63" s="418"/>
      <c r="I63" s="418"/>
      <c r="J63" s="418"/>
      <c r="K63" s="418"/>
      <c r="L63" s="418"/>
      <c r="M63" s="419"/>
      <c r="N63" s="419"/>
      <c r="O63" s="419"/>
      <c r="P63" s="418"/>
      <c r="Q63" s="418"/>
      <c r="R63" s="418"/>
      <c r="S63" s="418"/>
      <c r="T63" s="418"/>
      <c r="U63" s="418"/>
      <c r="V63" s="419"/>
      <c r="W63" s="419"/>
      <c r="X63" s="418"/>
      <c r="Y63" s="418"/>
      <c r="Z63" s="418"/>
      <c r="AA63" s="418"/>
      <c r="AB63" s="418"/>
      <c r="AC63" s="418"/>
      <c r="AD63" s="419"/>
      <c r="AE63" s="419"/>
      <c r="AF63" s="418"/>
      <c r="AG63" s="418"/>
      <c r="AH63" s="418"/>
      <c r="AI63" s="418"/>
      <c r="AJ63" s="418"/>
      <c r="AK63" s="418"/>
      <c r="AL63" s="418"/>
      <c r="AM63" s="418"/>
      <c r="AN63" s="418"/>
      <c r="AO63" s="408"/>
      <c r="AP63" s="494"/>
      <c r="AQ63" s="350"/>
      <c r="AR63" s="358"/>
      <c r="AS63" s="358"/>
      <c r="AT63" s="358"/>
    </row>
    <row r="64" spans="1:46" ht="15.75">
      <c r="A64" s="342"/>
      <c r="C64" s="417"/>
      <c r="D64" s="422"/>
      <c r="E64" s="508" t="str">
        <f ca="1">language!A58</f>
        <v xml:space="preserve">Объемный расход (с.у.) </v>
      </c>
      <c r="F64" s="508"/>
      <c r="G64" s="508"/>
      <c r="H64" s="508"/>
      <c r="I64" s="508"/>
      <c r="J64" s="508"/>
      <c r="K64" s="508"/>
      <c r="L64" s="508"/>
      <c r="M64" s="508"/>
      <c r="N64" s="516"/>
      <c r="O64" s="517"/>
      <c r="P64" s="517"/>
      <c r="Q64" s="518"/>
      <c r="R64" s="527" t="s">
        <v>1220</v>
      </c>
      <c r="S64" s="527"/>
      <c r="T64" s="527"/>
      <c r="U64" s="429"/>
      <c r="V64" s="516"/>
      <c r="W64" s="517"/>
      <c r="X64" s="517"/>
      <c r="Y64" s="518"/>
      <c r="Z64" s="497" t="str">
        <f>R64</f>
        <v>Нм³/ч</v>
      </c>
      <c r="AA64" s="497"/>
      <c r="AB64" s="429"/>
      <c r="AC64" s="429"/>
      <c r="AD64" s="516"/>
      <c r="AE64" s="517"/>
      <c r="AF64" s="517"/>
      <c r="AG64" s="518"/>
      <c r="AH64" s="498" t="str">
        <f>R64</f>
        <v>Нм³/ч</v>
      </c>
      <c r="AI64" s="498"/>
      <c r="AJ64" s="418"/>
      <c r="AK64" s="418"/>
      <c r="AL64" s="418"/>
      <c r="AM64" s="418"/>
      <c r="AN64" s="418"/>
      <c r="AO64" s="408"/>
      <c r="AP64" s="494"/>
      <c r="AQ64" s="350"/>
      <c r="AR64" s="358"/>
      <c r="AS64" s="358"/>
      <c r="AT64" s="358"/>
    </row>
    <row r="65" spans="1:46" ht="9" customHeight="1">
      <c r="A65" s="342"/>
      <c r="C65" s="417"/>
      <c r="D65" s="422"/>
      <c r="E65" s="419"/>
      <c r="F65" s="419"/>
      <c r="G65" s="418"/>
      <c r="H65" s="418"/>
      <c r="I65" s="418"/>
      <c r="J65" s="418"/>
      <c r="K65" s="418"/>
      <c r="L65" s="418"/>
      <c r="M65" s="419"/>
      <c r="N65" s="429"/>
      <c r="O65" s="429"/>
      <c r="P65" s="429"/>
      <c r="Q65" s="429"/>
      <c r="R65" s="429"/>
      <c r="S65" s="429"/>
      <c r="T65" s="429"/>
      <c r="U65" s="429"/>
      <c r="V65" s="429"/>
      <c r="W65" s="429"/>
      <c r="X65" s="429"/>
      <c r="Y65" s="429"/>
      <c r="Z65" s="429"/>
      <c r="AA65" s="429"/>
      <c r="AB65" s="429"/>
      <c r="AC65" s="429"/>
      <c r="AD65" s="429"/>
      <c r="AE65" s="419"/>
      <c r="AF65" s="429"/>
      <c r="AG65" s="429"/>
      <c r="AH65" s="419"/>
      <c r="AI65" s="418"/>
      <c r="AJ65" s="418"/>
      <c r="AK65" s="418"/>
      <c r="AL65" s="418"/>
      <c r="AM65" s="418"/>
      <c r="AN65" s="418"/>
      <c r="AO65" s="408"/>
      <c r="AP65" s="494"/>
      <c r="AQ65" s="350"/>
      <c r="AR65" s="358"/>
      <c r="AS65" s="358"/>
      <c r="AT65" s="358"/>
    </row>
    <row r="66" spans="1:46" ht="14.25" customHeight="1">
      <c r="A66" s="342"/>
      <c r="C66" s="417"/>
      <c r="D66" s="422"/>
      <c r="E66" s="508" t="str">
        <f ca="1">language!A59</f>
        <v>Скорость газа</v>
      </c>
      <c r="F66" s="508"/>
      <c r="G66" s="508"/>
      <c r="H66" s="508"/>
      <c r="I66" s="508"/>
      <c r="J66" s="508"/>
      <c r="K66" s="508"/>
      <c r="L66" s="508"/>
      <c r="M66" s="508"/>
      <c r="N66" s="516"/>
      <c r="O66" s="517"/>
      <c r="P66" s="517"/>
      <c r="Q66" s="518"/>
      <c r="R66" s="527" t="s">
        <v>517</v>
      </c>
      <c r="S66" s="527"/>
      <c r="T66" s="527"/>
      <c r="U66" s="429"/>
      <c r="V66" s="516"/>
      <c r="W66" s="517"/>
      <c r="X66" s="517"/>
      <c r="Y66" s="518"/>
      <c r="Z66" s="533" t="str">
        <f>R66</f>
        <v>м/с</v>
      </c>
      <c r="AA66" s="533"/>
      <c r="AB66" s="429"/>
      <c r="AC66" s="429"/>
      <c r="AD66" s="516"/>
      <c r="AE66" s="517"/>
      <c r="AF66" s="517"/>
      <c r="AG66" s="518"/>
      <c r="AH66" s="536" t="str">
        <f>R66</f>
        <v>м/с</v>
      </c>
      <c r="AI66" s="536"/>
      <c r="AJ66" s="418"/>
      <c r="AK66" s="418"/>
      <c r="AL66" s="418"/>
      <c r="AM66" s="418"/>
      <c r="AN66" s="418"/>
      <c r="AO66" s="408"/>
      <c r="AP66" s="494"/>
      <c r="AQ66" s="350"/>
      <c r="AR66" s="358"/>
      <c r="AS66" s="358"/>
      <c r="AT66" s="358"/>
    </row>
    <row r="67" spans="1:46" ht="9" customHeight="1">
      <c r="A67" s="342"/>
      <c r="C67" s="417"/>
      <c r="D67" s="422"/>
      <c r="E67" s="419"/>
      <c r="F67" s="419"/>
      <c r="G67" s="418"/>
      <c r="H67" s="418"/>
      <c r="I67" s="418"/>
      <c r="J67" s="418"/>
      <c r="K67" s="418"/>
      <c r="L67" s="418"/>
      <c r="M67" s="419"/>
      <c r="N67" s="419"/>
      <c r="O67" s="419"/>
      <c r="P67" s="418"/>
      <c r="Q67" s="418"/>
      <c r="R67" s="419"/>
      <c r="S67" s="418"/>
      <c r="T67" s="418"/>
      <c r="U67" s="418"/>
      <c r="V67" s="419"/>
      <c r="W67" s="419"/>
      <c r="X67" s="418"/>
      <c r="Y67" s="418"/>
      <c r="Z67" s="419"/>
      <c r="AA67" s="418"/>
      <c r="AB67" s="418"/>
      <c r="AC67" s="418"/>
      <c r="AD67" s="419"/>
      <c r="AE67" s="419"/>
      <c r="AF67" s="418"/>
      <c r="AG67" s="418"/>
      <c r="AH67" s="419"/>
      <c r="AI67" s="418"/>
      <c r="AJ67" s="418"/>
      <c r="AK67" s="418"/>
      <c r="AL67" s="418"/>
      <c r="AM67" s="418"/>
      <c r="AN67" s="418"/>
      <c r="AO67" s="408"/>
      <c r="AP67" s="494"/>
      <c r="AQ67" s="350"/>
      <c r="AR67" s="358"/>
      <c r="AS67" s="358"/>
      <c r="AT67" s="358"/>
    </row>
    <row r="68" spans="1:46" ht="15.75">
      <c r="A68" s="342"/>
      <c r="C68" s="417"/>
      <c r="D68" s="426"/>
      <c r="E68" s="508" t="str">
        <f ca="1">language!A60</f>
        <v>Температура газа</v>
      </c>
      <c r="F68" s="508"/>
      <c r="G68" s="508"/>
      <c r="H68" s="508"/>
      <c r="I68" s="508"/>
      <c r="J68" s="508"/>
      <c r="K68" s="508"/>
      <c r="L68" s="508"/>
      <c r="M68" s="519"/>
      <c r="N68" s="513"/>
      <c r="O68" s="514"/>
      <c r="P68" s="514"/>
      <c r="Q68" s="515"/>
      <c r="R68" s="526" t="s">
        <v>20</v>
      </c>
      <c r="S68" s="527"/>
      <c r="T68" s="527"/>
      <c r="U68" s="418"/>
      <c r="V68" s="513"/>
      <c r="W68" s="514"/>
      <c r="X68" s="514"/>
      <c r="Y68" s="515"/>
      <c r="Z68" s="535" t="str">
        <f>R68</f>
        <v>°C</v>
      </c>
      <c r="AA68" s="536"/>
      <c r="AB68" s="418"/>
      <c r="AC68" s="418"/>
      <c r="AD68" s="513"/>
      <c r="AE68" s="514"/>
      <c r="AF68" s="514"/>
      <c r="AG68" s="515"/>
      <c r="AH68" s="535" t="str">
        <f>R68</f>
        <v>°C</v>
      </c>
      <c r="AI68" s="536"/>
      <c r="AJ68" s="418"/>
      <c r="AK68" s="418"/>
      <c r="AL68" s="418"/>
      <c r="AM68" s="418"/>
      <c r="AN68" s="418"/>
      <c r="AO68" s="408"/>
      <c r="AP68" s="494"/>
      <c r="AQ68" s="350"/>
      <c r="AR68" s="358">
        <f ca="1">t_min</f>
        <v>-194</v>
      </c>
      <c r="AS68" s="358">
        <f ca="1">t_max</f>
        <v>280</v>
      </c>
      <c r="AT68" s="358"/>
    </row>
    <row r="69" spans="1:46" ht="9" customHeight="1">
      <c r="A69" s="342"/>
      <c r="C69" s="417"/>
      <c r="D69" s="422"/>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8"/>
      <c r="AK69" s="418"/>
      <c r="AL69" s="418"/>
      <c r="AM69" s="418"/>
      <c r="AN69" s="418"/>
      <c r="AO69" s="408"/>
      <c r="AP69" s="494"/>
      <c r="AQ69" s="350"/>
      <c r="AR69" s="358"/>
      <c r="AS69" s="358"/>
      <c r="AT69" s="358"/>
    </row>
    <row r="70" spans="1:46" ht="15.75">
      <c r="A70" s="342"/>
      <c r="C70" s="417"/>
      <c r="D70" s="426"/>
      <c r="E70" s="508" t="str">
        <f ca="1">language!A61</f>
        <v>Рабочее давление (избыт.)</v>
      </c>
      <c r="F70" s="508"/>
      <c r="G70" s="508"/>
      <c r="H70" s="508"/>
      <c r="I70" s="508"/>
      <c r="J70" s="508"/>
      <c r="K70" s="508"/>
      <c r="L70" s="508"/>
      <c r="M70" s="519"/>
      <c r="N70" s="513"/>
      <c r="O70" s="514"/>
      <c r="P70" s="514"/>
      <c r="Q70" s="515"/>
      <c r="R70" s="526" t="s">
        <v>1217</v>
      </c>
      <c r="S70" s="527"/>
      <c r="T70" s="527"/>
      <c r="U70" s="418"/>
      <c r="V70" s="513"/>
      <c r="W70" s="514"/>
      <c r="X70" s="514"/>
      <c r="Y70" s="515"/>
      <c r="Z70" s="499" t="str">
        <f>R70</f>
        <v>бар(и)</v>
      </c>
      <c r="AA70" s="498"/>
      <c r="AB70" s="496"/>
      <c r="AC70" s="418"/>
      <c r="AD70" s="513"/>
      <c r="AE70" s="514"/>
      <c r="AF70" s="514"/>
      <c r="AG70" s="515"/>
      <c r="AH70" s="499" t="str">
        <f>R70</f>
        <v>бар(и)</v>
      </c>
      <c r="AI70" s="498"/>
      <c r="AJ70" s="496"/>
      <c r="AK70" s="418"/>
      <c r="AL70" s="418"/>
      <c r="AM70" s="418"/>
      <c r="AN70" s="418"/>
      <c r="AO70" s="408"/>
      <c r="AP70" s="494"/>
      <c r="AQ70" s="350"/>
      <c r="AR70" s="358">
        <f>p_min</f>
        <v>0</v>
      </c>
      <c r="AS70" s="358">
        <f ca="1">p_max</f>
        <v>450</v>
      </c>
      <c r="AT70" s="358"/>
    </row>
    <row r="71" spans="1:46" s="348" customFormat="1" ht="9" customHeight="1">
      <c r="A71" s="343"/>
      <c r="B71" s="345"/>
      <c r="C71" s="417"/>
      <c r="D71" s="422"/>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8"/>
      <c r="AK71" s="418"/>
      <c r="AL71" s="418"/>
      <c r="AM71" s="418"/>
      <c r="AN71" s="418"/>
      <c r="AO71" s="408"/>
      <c r="AP71" s="494"/>
      <c r="AQ71" s="349"/>
      <c r="AR71" s="352"/>
      <c r="AS71" s="352"/>
      <c r="AT71" s="352"/>
    </row>
    <row r="72" spans="1:46" ht="15.75">
      <c r="A72" s="342"/>
      <c r="C72" s="417"/>
      <c r="D72" s="422"/>
      <c r="E72" s="508" t="str">
        <f ca="1">language!A62</f>
        <v>Массовый расход</v>
      </c>
      <c r="F72" s="508"/>
      <c r="G72" s="508"/>
      <c r="H72" s="508"/>
      <c r="I72" s="508"/>
      <c r="J72" s="508"/>
      <c r="K72" s="508"/>
      <c r="L72" s="508"/>
      <c r="M72" s="508"/>
      <c r="N72" s="516"/>
      <c r="O72" s="517"/>
      <c r="P72" s="517"/>
      <c r="Q72" s="518"/>
      <c r="R72" s="527" t="s">
        <v>518</v>
      </c>
      <c r="S72" s="527"/>
      <c r="T72" s="527"/>
      <c r="U72" s="429"/>
      <c r="V72" s="516"/>
      <c r="W72" s="517"/>
      <c r="X72" s="517"/>
      <c r="Y72" s="518"/>
      <c r="Z72" s="533" t="str">
        <f>R72</f>
        <v>кг/ч</v>
      </c>
      <c r="AA72" s="533"/>
      <c r="AB72" s="429"/>
      <c r="AC72" s="429"/>
      <c r="AD72" s="516"/>
      <c r="AE72" s="517"/>
      <c r="AF72" s="517"/>
      <c r="AG72" s="518"/>
      <c r="AH72" s="536" t="str">
        <f>R72</f>
        <v>кг/ч</v>
      </c>
      <c r="AI72" s="536"/>
      <c r="AJ72" s="418"/>
      <c r="AK72" s="418"/>
      <c r="AL72" s="418"/>
      <c r="AM72" s="418"/>
      <c r="AN72" s="418"/>
      <c r="AO72" s="408"/>
      <c r="AP72" s="494"/>
      <c r="AQ72" s="350"/>
      <c r="AR72" s="358"/>
      <c r="AS72" s="358"/>
      <c r="AT72" s="358"/>
    </row>
    <row r="73" spans="1:46" s="348" customFormat="1" ht="9" customHeight="1">
      <c r="A73" s="343"/>
      <c r="B73" s="345"/>
      <c r="C73" s="417"/>
      <c r="D73" s="422"/>
      <c r="E73" s="419"/>
      <c r="F73" s="419"/>
      <c r="G73" s="419"/>
      <c r="H73" s="419"/>
      <c r="I73" s="419"/>
      <c r="J73" s="419"/>
      <c r="K73" s="419"/>
      <c r="L73" s="419"/>
      <c r="M73" s="419"/>
      <c r="N73" s="429"/>
      <c r="O73" s="429"/>
      <c r="P73" s="429"/>
      <c r="Q73" s="429"/>
      <c r="R73" s="429"/>
      <c r="S73" s="429"/>
      <c r="T73" s="429"/>
      <c r="U73" s="429"/>
      <c r="V73" s="429"/>
      <c r="W73" s="429"/>
      <c r="X73" s="429"/>
      <c r="Y73" s="429"/>
      <c r="Z73" s="429"/>
      <c r="AA73" s="429"/>
      <c r="AB73" s="429"/>
      <c r="AC73" s="429"/>
      <c r="AD73" s="429"/>
      <c r="AE73" s="429"/>
      <c r="AF73" s="429"/>
      <c r="AG73" s="429"/>
      <c r="AH73" s="419"/>
      <c r="AI73" s="419"/>
      <c r="AJ73" s="418"/>
      <c r="AK73" s="418"/>
      <c r="AL73" s="418"/>
      <c r="AM73" s="418"/>
      <c r="AN73" s="418"/>
      <c r="AO73" s="408"/>
      <c r="AP73" s="494"/>
      <c r="AQ73" s="349"/>
      <c r="AR73" s="352"/>
      <c r="AS73" s="352"/>
      <c r="AT73" s="352"/>
    </row>
    <row r="74" spans="1:46" ht="14.25" customHeight="1">
      <c r="A74" s="342"/>
      <c r="C74" s="417"/>
      <c r="D74" s="422"/>
      <c r="E74" s="508" t="str">
        <f ca="1">language!A63</f>
        <v>Коэффициент сжимаемости</v>
      </c>
      <c r="F74" s="508"/>
      <c r="G74" s="508"/>
      <c r="H74" s="508"/>
      <c r="I74" s="508"/>
      <c r="J74" s="508"/>
      <c r="K74" s="508"/>
      <c r="L74" s="508"/>
      <c r="M74" s="508"/>
      <c r="N74" s="516"/>
      <c r="O74" s="517"/>
      <c r="P74" s="517"/>
      <c r="Q74" s="518"/>
      <c r="R74" s="558"/>
      <c r="S74" s="558"/>
      <c r="T74" s="429"/>
      <c r="U74" s="429"/>
      <c r="V74" s="516"/>
      <c r="W74" s="517"/>
      <c r="X74" s="517"/>
      <c r="Y74" s="518"/>
      <c r="Z74" s="558"/>
      <c r="AA74" s="558"/>
      <c r="AB74" s="429"/>
      <c r="AC74" s="429"/>
      <c r="AD74" s="516"/>
      <c r="AE74" s="517"/>
      <c r="AF74" s="517"/>
      <c r="AG74" s="518"/>
      <c r="AH74" s="508"/>
      <c r="AI74" s="508"/>
      <c r="AJ74" s="418"/>
      <c r="AK74" s="418"/>
      <c r="AL74" s="418"/>
      <c r="AM74" s="418"/>
      <c r="AN74" s="418"/>
      <c r="AO74" s="408"/>
      <c r="AP74" s="494"/>
      <c r="AQ74" s="350"/>
      <c r="AR74" s="358"/>
      <c r="AS74" s="358"/>
      <c r="AT74" s="358"/>
    </row>
    <row r="75" spans="1:46" s="348" customFormat="1" ht="9" customHeight="1">
      <c r="A75" s="343"/>
      <c r="B75" s="345"/>
      <c r="C75" s="417"/>
      <c r="D75" s="422"/>
      <c r="E75" s="419"/>
      <c r="F75" s="419"/>
      <c r="G75" s="419"/>
      <c r="H75" s="419"/>
      <c r="I75" s="419"/>
      <c r="J75" s="419"/>
      <c r="K75" s="419"/>
      <c r="L75" s="419"/>
      <c r="M75" s="419"/>
      <c r="N75" s="429"/>
      <c r="O75" s="429"/>
      <c r="P75" s="429"/>
      <c r="Q75" s="429"/>
      <c r="R75" s="429"/>
      <c r="S75" s="429"/>
      <c r="T75" s="429"/>
      <c r="U75" s="429"/>
      <c r="V75" s="429"/>
      <c r="W75" s="429"/>
      <c r="X75" s="419"/>
      <c r="Y75" s="429"/>
      <c r="Z75" s="429"/>
      <c r="AA75" s="429"/>
      <c r="AB75" s="429"/>
      <c r="AC75" s="429"/>
      <c r="AD75" s="429"/>
      <c r="AE75" s="429"/>
      <c r="AF75" s="432"/>
      <c r="AG75" s="429"/>
      <c r="AH75" s="419"/>
      <c r="AI75" s="419"/>
      <c r="AJ75" s="418"/>
      <c r="AK75" s="418"/>
      <c r="AL75" s="418"/>
      <c r="AM75" s="418"/>
      <c r="AN75" s="418"/>
      <c r="AO75" s="408"/>
      <c r="AP75" s="494"/>
      <c r="AQ75" s="349"/>
      <c r="AR75" s="352"/>
      <c r="AS75" s="352"/>
      <c r="AT75" s="352"/>
    </row>
    <row r="76" spans="1:46" ht="15.75">
      <c r="A76" s="342"/>
      <c r="C76" s="417"/>
      <c r="D76" s="422"/>
      <c r="E76" s="508" t="str">
        <f ca="1">language!A64</f>
        <v>Плотность (р.у.)</v>
      </c>
      <c r="F76" s="508"/>
      <c r="G76" s="508"/>
      <c r="H76" s="508"/>
      <c r="I76" s="508"/>
      <c r="J76" s="508"/>
      <c r="K76" s="508"/>
      <c r="L76" s="508"/>
      <c r="M76" s="508"/>
      <c r="N76" s="516"/>
      <c r="O76" s="517"/>
      <c r="P76" s="517"/>
      <c r="Q76" s="518"/>
      <c r="R76" s="527" t="s">
        <v>519</v>
      </c>
      <c r="S76" s="527"/>
      <c r="T76" s="527"/>
      <c r="U76" s="429"/>
      <c r="V76" s="516"/>
      <c r="W76" s="517"/>
      <c r="X76" s="517"/>
      <c r="Y76" s="518"/>
      <c r="Z76" s="533" t="str">
        <f>R76</f>
        <v>кг/м³</v>
      </c>
      <c r="AA76" s="533"/>
      <c r="AB76" s="429"/>
      <c r="AC76" s="429"/>
      <c r="AD76" s="516"/>
      <c r="AE76" s="517"/>
      <c r="AF76" s="517"/>
      <c r="AG76" s="518"/>
      <c r="AH76" s="536" t="str">
        <f>R76</f>
        <v>кг/м³</v>
      </c>
      <c r="AI76" s="536"/>
      <c r="AJ76" s="418"/>
      <c r="AK76" s="418"/>
      <c r="AL76" s="418"/>
      <c r="AM76" s="418"/>
      <c r="AN76" s="418"/>
      <c r="AO76" s="408"/>
      <c r="AP76" s="494"/>
      <c r="AQ76" s="350"/>
      <c r="AR76" s="358"/>
      <c r="AS76" s="358"/>
      <c r="AT76" s="358"/>
    </row>
    <row r="77" spans="1:46" s="348" customFormat="1" ht="9" customHeight="1">
      <c r="A77" s="343"/>
      <c r="B77" s="345"/>
      <c r="C77" s="417"/>
      <c r="D77" s="422"/>
      <c r="E77" s="419"/>
      <c r="F77" s="419"/>
      <c r="G77" s="419"/>
      <c r="H77" s="419"/>
      <c r="I77" s="419"/>
      <c r="J77" s="419"/>
      <c r="K77" s="419"/>
      <c r="L77" s="419"/>
      <c r="M77" s="419"/>
      <c r="N77" s="429"/>
      <c r="O77" s="429"/>
      <c r="P77" s="429"/>
      <c r="Q77" s="419"/>
      <c r="R77" s="429"/>
      <c r="S77" s="429"/>
      <c r="T77" s="429"/>
      <c r="U77" s="429"/>
      <c r="V77" s="429"/>
      <c r="W77" s="429"/>
      <c r="X77" s="429"/>
      <c r="Y77" s="429"/>
      <c r="Z77" s="429"/>
      <c r="AA77" s="429"/>
      <c r="AB77" s="429"/>
      <c r="AC77" s="429"/>
      <c r="AD77" s="429"/>
      <c r="AE77" s="429"/>
      <c r="AF77" s="429"/>
      <c r="AG77" s="429"/>
      <c r="AH77" s="419"/>
      <c r="AI77" s="419"/>
      <c r="AJ77" s="418"/>
      <c r="AK77" s="418"/>
      <c r="AL77" s="418"/>
      <c r="AM77" s="418"/>
      <c r="AN77" s="418"/>
      <c r="AO77" s="408"/>
      <c r="AP77" s="494"/>
      <c r="AQ77" s="349"/>
      <c r="AR77" s="352"/>
      <c r="AS77" s="352"/>
      <c r="AT77" s="352"/>
    </row>
    <row r="78" spans="1:46" ht="15.75">
      <c r="A78" s="342"/>
      <c r="C78" s="417"/>
      <c r="D78" s="422"/>
      <c r="E78" s="508" t="str">
        <f ca="1">language!A65</f>
        <v>Молярная масса</v>
      </c>
      <c r="F78" s="508"/>
      <c r="G78" s="508"/>
      <c r="H78" s="508"/>
      <c r="I78" s="508"/>
      <c r="J78" s="508"/>
      <c r="K78" s="508"/>
      <c r="L78" s="508"/>
      <c r="M78" s="508"/>
      <c r="N78" s="516"/>
      <c r="O78" s="517"/>
      <c r="P78" s="517"/>
      <c r="Q78" s="518"/>
      <c r="R78" s="527" t="s">
        <v>520</v>
      </c>
      <c r="S78" s="527"/>
      <c r="T78" s="527"/>
      <c r="U78" s="429"/>
      <c r="V78" s="516"/>
      <c r="W78" s="517"/>
      <c r="X78" s="517"/>
      <c r="Y78" s="518"/>
      <c r="Z78" s="561" t="str">
        <f>R78</f>
        <v>г/моль</v>
      </c>
      <c r="AA78" s="562"/>
      <c r="AB78" s="562"/>
      <c r="AC78" s="429"/>
      <c r="AD78" s="516"/>
      <c r="AE78" s="517"/>
      <c r="AF78" s="517"/>
      <c r="AG78" s="518"/>
      <c r="AH78" s="560" t="str">
        <f>R78</f>
        <v>г/моль</v>
      </c>
      <c r="AI78" s="559"/>
      <c r="AJ78" s="559"/>
      <c r="AK78" s="418"/>
      <c r="AL78" s="418"/>
      <c r="AM78" s="418"/>
      <c r="AN78" s="418"/>
      <c r="AO78" s="408"/>
      <c r="AP78" s="494"/>
      <c r="AQ78" s="350"/>
      <c r="AR78" s="358"/>
      <c r="AS78" s="358"/>
      <c r="AT78" s="358"/>
    </row>
    <row r="79" spans="1:46" s="348" customFormat="1" ht="9" customHeight="1">
      <c r="A79" s="343"/>
      <c r="B79" s="345"/>
      <c r="C79" s="424"/>
      <c r="D79" s="425"/>
      <c r="E79" s="413"/>
      <c r="F79" s="413"/>
      <c r="G79" s="413"/>
      <c r="H79" s="413"/>
      <c r="I79" s="413"/>
      <c r="J79" s="413"/>
      <c r="K79" s="413"/>
      <c r="L79" s="413"/>
      <c r="M79" s="413"/>
      <c r="N79" s="433"/>
      <c r="O79" s="433"/>
      <c r="P79" s="433"/>
      <c r="Q79" s="433"/>
      <c r="R79" s="433"/>
      <c r="S79" s="433"/>
      <c r="T79" s="433"/>
      <c r="U79" s="433"/>
      <c r="V79" s="433"/>
      <c r="W79" s="433"/>
      <c r="X79" s="433"/>
      <c r="Y79" s="433"/>
      <c r="Z79" s="433"/>
      <c r="AA79" s="433"/>
      <c r="AB79" s="433"/>
      <c r="AC79" s="433"/>
      <c r="AD79" s="433"/>
      <c r="AE79" s="433"/>
      <c r="AF79" s="433"/>
      <c r="AG79" s="433"/>
      <c r="AH79" s="413"/>
      <c r="AI79" s="413"/>
      <c r="AJ79" s="413"/>
      <c r="AK79" s="413"/>
      <c r="AL79" s="413"/>
      <c r="AM79" s="413"/>
      <c r="AN79" s="413"/>
      <c r="AO79" s="414"/>
      <c r="AP79" s="494"/>
      <c r="AQ79" s="349"/>
      <c r="AR79" s="352"/>
      <c r="AS79" s="352"/>
      <c r="AT79" s="352"/>
    </row>
    <row r="80" spans="1:46" ht="6" customHeight="1">
      <c r="A80" s="342"/>
      <c r="C80" s="418"/>
      <c r="D80" s="397"/>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494"/>
      <c r="AQ80" s="342"/>
      <c r="AR80" s="358"/>
      <c r="AS80" s="358"/>
      <c r="AT80" s="358"/>
    </row>
    <row r="81" spans="1:46" s="348" customFormat="1" ht="6" customHeight="1">
      <c r="A81" s="343"/>
      <c r="B81" s="345"/>
      <c r="C81" s="415"/>
      <c r="D81" s="416"/>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34"/>
      <c r="AP81" s="494"/>
      <c r="AQ81" s="343"/>
      <c r="AR81" s="352"/>
      <c r="AS81" s="352"/>
      <c r="AT81" s="352"/>
    </row>
    <row r="82" spans="1:46" ht="15.75">
      <c r="A82" s="342"/>
      <c r="C82" s="417"/>
      <c r="D82" s="422"/>
      <c r="E82" s="530" t="str">
        <f ca="1">language!A67</f>
        <v>Внешние условия</v>
      </c>
      <c r="F82" s="530"/>
      <c r="G82" s="530"/>
      <c r="H82" s="530"/>
      <c r="I82" s="530"/>
      <c r="J82" s="530"/>
      <c r="K82" s="530"/>
      <c r="L82" s="530"/>
      <c r="M82" s="530"/>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35"/>
      <c r="AP82" s="494"/>
      <c r="AQ82" s="342"/>
      <c r="AR82" s="358"/>
      <c r="AS82" s="351"/>
      <c r="AT82" s="358"/>
    </row>
    <row r="83" spans="1:46" s="348" customFormat="1" ht="7.5" customHeight="1">
      <c r="A83" s="343"/>
      <c r="B83" s="345"/>
      <c r="C83" s="417"/>
      <c r="D83" s="422"/>
      <c r="E83" s="418"/>
      <c r="F83" s="418"/>
      <c r="G83" s="418"/>
      <c r="H83" s="418"/>
      <c r="I83" s="418"/>
      <c r="J83" s="418"/>
      <c r="K83" s="418"/>
      <c r="L83" s="431"/>
      <c r="M83" s="431"/>
      <c r="N83" s="431"/>
      <c r="O83" s="418"/>
      <c r="P83" s="419"/>
      <c r="Q83" s="419"/>
      <c r="R83" s="418"/>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35"/>
      <c r="AP83" s="494"/>
      <c r="AQ83" s="343"/>
      <c r="AR83" s="352"/>
      <c r="AS83" s="352"/>
      <c r="AT83" s="352"/>
    </row>
    <row r="84" spans="1:46" ht="15.75">
      <c r="A84" s="342"/>
      <c r="C84" s="417"/>
      <c r="D84" s="422"/>
      <c r="E84" s="508" t="str">
        <f ca="1">language!A68</f>
        <v>Коррозионные</v>
      </c>
      <c r="F84" s="508"/>
      <c r="G84" s="508"/>
      <c r="H84" s="508"/>
      <c r="I84" s="508"/>
      <c r="J84" s="508"/>
      <c r="K84" s="508"/>
      <c r="L84" s="508"/>
      <c r="M84" s="508"/>
      <c r="N84" s="516" t="s">
        <v>528</v>
      </c>
      <c r="O84" s="517"/>
      <c r="P84" s="517"/>
      <c r="Q84" s="518"/>
      <c r="R84" s="418"/>
      <c r="S84" s="418"/>
      <c r="T84" s="418"/>
      <c r="U84" s="418"/>
      <c r="V84" s="534" t="str">
        <f>IF(N84="нет","","Описание")</f>
        <v/>
      </c>
      <c r="W84" s="534"/>
      <c r="X84" s="534"/>
      <c r="Y84" s="534"/>
      <c r="Z84" s="534"/>
      <c r="AA84" s="534"/>
      <c r="AB84" s="534"/>
      <c r="AC84" s="534"/>
      <c r="AD84" s="534"/>
      <c r="AE84" s="534"/>
      <c r="AF84" s="534"/>
      <c r="AG84" s="534"/>
      <c r="AH84" s="534"/>
      <c r="AI84" s="534"/>
      <c r="AJ84" s="534"/>
      <c r="AK84" s="534"/>
      <c r="AL84" s="534"/>
      <c r="AM84" s="418"/>
      <c r="AN84" s="418"/>
      <c r="AO84" s="435"/>
      <c r="AP84" s="494"/>
      <c r="AQ84" s="342"/>
      <c r="AR84" s="358"/>
      <c r="AS84" s="358"/>
      <c r="AT84" s="358"/>
    </row>
    <row r="85" spans="1:46" s="348" customFormat="1" ht="9" customHeight="1">
      <c r="A85" s="343"/>
      <c r="B85" s="345"/>
      <c r="C85" s="417"/>
      <c r="D85" s="422"/>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35"/>
      <c r="AP85" s="494"/>
      <c r="AQ85" s="349"/>
      <c r="AR85" s="352"/>
      <c r="AS85" s="352"/>
      <c r="AT85" s="352"/>
    </row>
    <row r="86" spans="1:46" ht="15.75">
      <c r="A86" s="342"/>
      <c r="C86" s="417"/>
      <c r="D86" s="426"/>
      <c r="E86" s="508" t="str">
        <f ca="1">N60&amp;" "&amp;language!A69</f>
        <v>Мин. Окруж. температура</v>
      </c>
      <c r="F86" s="508"/>
      <c r="G86" s="508"/>
      <c r="H86" s="508"/>
      <c r="I86" s="508"/>
      <c r="J86" s="508"/>
      <c r="K86" s="508"/>
      <c r="L86" s="508"/>
      <c r="M86" s="519"/>
      <c r="N86" s="513"/>
      <c r="O86" s="514"/>
      <c r="P86" s="514"/>
      <c r="Q86" s="515"/>
      <c r="R86" s="526" t="s">
        <v>20</v>
      </c>
      <c r="S86" s="527"/>
      <c r="T86" s="528" t="str">
        <f ca="1">AD60&amp;" "&amp;language!A69&amp;" "</f>
        <v xml:space="preserve">Макс. Окруж. температура </v>
      </c>
      <c r="U86" s="528"/>
      <c r="V86" s="528"/>
      <c r="W86" s="528"/>
      <c r="X86" s="528"/>
      <c r="Y86" s="528"/>
      <c r="Z86" s="528"/>
      <c r="AA86" s="528"/>
      <c r="AB86" s="528"/>
      <c r="AC86" s="529"/>
      <c r="AD86" s="513"/>
      <c r="AE86" s="514"/>
      <c r="AF86" s="514"/>
      <c r="AG86" s="515"/>
      <c r="AH86" s="535" t="str">
        <f>R86</f>
        <v>°C</v>
      </c>
      <c r="AI86" s="536"/>
      <c r="AJ86" s="418"/>
      <c r="AK86" s="418"/>
      <c r="AL86" s="418"/>
      <c r="AM86" s="418"/>
      <c r="AN86" s="418"/>
      <c r="AO86" s="408"/>
      <c r="AP86" s="494"/>
      <c r="AQ86" s="350"/>
      <c r="AR86" s="358">
        <f>tu_min</f>
        <v>-50</v>
      </c>
      <c r="AS86" s="358">
        <f ca="1">tu_max</f>
        <v>70</v>
      </c>
      <c r="AT86" s="358"/>
    </row>
    <row r="87" spans="1:46" ht="9" customHeight="1">
      <c r="A87" s="342"/>
      <c r="C87" s="424"/>
      <c r="D87" s="425"/>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4"/>
      <c r="AP87" s="494"/>
      <c r="AQ87" s="350"/>
      <c r="AR87" s="358"/>
      <c r="AS87" s="358"/>
      <c r="AT87" s="358"/>
    </row>
    <row r="88" spans="1:46" ht="10.5" customHeight="1">
      <c r="A88" s="342"/>
      <c r="C88" s="396"/>
      <c r="D88" s="422"/>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94"/>
      <c r="AQ88" s="350"/>
      <c r="AR88" s="358"/>
      <c r="AS88" s="358"/>
      <c r="AT88" s="358"/>
    </row>
    <row r="89" spans="1:46" ht="15.75">
      <c r="A89" s="342"/>
      <c r="C89" s="525" t="str">
        <f ca="1">language!A10</f>
        <v>ООО "НПП КуйбышевТелеком-Метрология"</v>
      </c>
      <c r="D89" s="525"/>
      <c r="E89" s="525"/>
      <c r="F89" s="525"/>
      <c r="G89" s="525"/>
      <c r="H89" s="525"/>
      <c r="I89" s="525"/>
      <c r="J89" s="525"/>
      <c r="K89" s="525"/>
      <c r="L89" s="525"/>
      <c r="M89" s="525"/>
      <c r="N89" s="525"/>
      <c r="O89" s="525"/>
      <c r="P89" s="525"/>
      <c r="Q89" s="525"/>
      <c r="R89" s="525"/>
      <c r="S89" s="525"/>
      <c r="T89" s="525"/>
      <c r="U89" s="525"/>
      <c r="V89" s="525"/>
      <c r="W89" s="525"/>
      <c r="X89" s="525"/>
      <c r="Y89" s="418"/>
      <c r="Z89" s="418"/>
      <c r="AA89" s="418"/>
      <c r="AB89" s="418"/>
      <c r="AC89" s="418"/>
      <c r="AD89" s="418"/>
      <c r="AE89" s="418"/>
      <c r="AF89" s="418"/>
      <c r="AG89" s="418"/>
      <c r="AH89" s="418"/>
      <c r="AI89" s="418"/>
      <c r="AJ89" s="418"/>
      <c r="AK89" s="418"/>
      <c r="AL89" s="418"/>
      <c r="AM89" s="419"/>
      <c r="AN89" s="419"/>
      <c r="AO89" s="419"/>
      <c r="AP89" s="494"/>
      <c r="AQ89" s="342"/>
      <c r="AR89" s="358"/>
      <c r="AS89" s="358"/>
      <c r="AT89" s="358"/>
    </row>
    <row r="90" spans="1:46" ht="15.75">
      <c r="A90" s="342"/>
      <c r="C90" s="508" t="str">
        <f ca="1">language!A11</f>
        <v>443052, РФ, г.о. Самара, ул. Земеца 26Б, оф 413</v>
      </c>
      <c r="D90" s="508"/>
      <c r="E90" s="508"/>
      <c r="F90" s="508"/>
      <c r="G90" s="508"/>
      <c r="H90" s="508"/>
      <c r="I90" s="508"/>
      <c r="J90" s="508"/>
      <c r="K90" s="508"/>
      <c r="L90" s="508"/>
      <c r="M90" s="508"/>
      <c r="N90" s="508"/>
      <c r="O90" s="508"/>
      <c r="P90" s="508"/>
      <c r="Q90" s="508"/>
      <c r="R90" s="508"/>
      <c r="S90" s="508"/>
      <c r="T90" s="508"/>
      <c r="U90" s="508"/>
      <c r="V90" s="508"/>
      <c r="W90" s="508"/>
      <c r="X90" s="508"/>
      <c r="Y90" s="396"/>
      <c r="Z90" s="396"/>
      <c r="AA90" s="396"/>
      <c r="AB90" s="418"/>
      <c r="AC90" s="396"/>
      <c r="AD90" s="396"/>
      <c r="AE90" s="396"/>
      <c r="AF90" s="396"/>
      <c r="AG90" s="396"/>
      <c r="AH90" s="396"/>
      <c r="AI90" s="396"/>
      <c r="AJ90" s="396"/>
      <c r="AK90" s="396"/>
      <c r="AL90" s="396"/>
      <c r="AM90" s="396"/>
      <c r="AN90" s="418"/>
      <c r="AO90" s="396"/>
      <c r="AP90" s="494"/>
      <c r="AQ90" s="342"/>
      <c r="AR90" s="358"/>
      <c r="AS90" s="358"/>
      <c r="AT90" s="358"/>
    </row>
    <row r="91" spans="1:46" s="348" customFormat="1" ht="15.75">
      <c r="A91" s="343"/>
      <c r="B91" s="345"/>
      <c r="C91" s="508" t="str">
        <f ca="1">language!A12</f>
        <v>Телефон: 8(846)202-00-65 |Факс: 8(846)206-01-80 | E-mail: info@ktkprom.com</v>
      </c>
      <c r="D91" s="508"/>
      <c r="E91" s="508"/>
      <c r="F91" s="508"/>
      <c r="G91" s="508"/>
      <c r="H91" s="508"/>
      <c r="I91" s="508"/>
      <c r="J91" s="508"/>
      <c r="K91" s="508"/>
      <c r="L91" s="508"/>
      <c r="M91" s="508"/>
      <c r="N91" s="508"/>
      <c r="O91" s="508"/>
      <c r="P91" s="508"/>
      <c r="Q91" s="508"/>
      <c r="R91" s="508"/>
      <c r="S91" s="508"/>
      <c r="T91" s="508"/>
      <c r="U91" s="508"/>
      <c r="V91" s="508"/>
      <c r="W91" s="508"/>
      <c r="X91" s="508"/>
      <c r="Y91" s="508"/>
      <c r="Z91" s="508"/>
      <c r="AA91" s="508"/>
      <c r="AB91" s="418"/>
      <c r="AC91" s="418"/>
      <c r="AD91" s="418"/>
      <c r="AE91" s="418"/>
      <c r="AF91" s="418"/>
      <c r="AG91" s="418"/>
      <c r="AH91" s="418"/>
      <c r="AI91" s="418"/>
      <c r="AJ91" s="418"/>
      <c r="AK91" s="396"/>
      <c r="AL91" s="396"/>
      <c r="AM91" s="396"/>
      <c r="AN91" s="396"/>
      <c r="AO91" s="396"/>
      <c r="AP91" s="495"/>
      <c r="AQ91" s="343"/>
      <c r="AR91" s="352"/>
      <c r="AS91" s="352"/>
      <c r="AT91" s="352"/>
    </row>
    <row r="92" spans="1:46" ht="12" customHeight="1">
      <c r="A92" s="342"/>
      <c r="C92" s="396"/>
      <c r="D92" s="422"/>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396"/>
      <c r="AL92" s="396"/>
      <c r="AM92" s="396"/>
      <c r="AN92" s="396"/>
      <c r="AO92" s="396"/>
      <c r="AP92" s="494"/>
      <c r="AQ92" s="342"/>
    </row>
    <row r="93" spans="1:46" s="354" customFormat="1" ht="12" customHeight="1">
      <c r="A93" s="353"/>
      <c r="C93" s="396"/>
      <c r="D93" s="397"/>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553" t="str">
        <f ca="1">CONCATENATE(language!A340," 1")</f>
        <v>Стр. 1</v>
      </c>
      <c r="AL93" s="553"/>
      <c r="AM93" s="553"/>
      <c r="AN93" s="553"/>
      <c r="AO93" s="553"/>
      <c r="AP93" s="494"/>
      <c r="AQ93" s="353"/>
    </row>
    <row r="94" spans="1:46" ht="12" customHeight="1">
      <c r="A94" s="342"/>
      <c r="C94" s="396"/>
      <c r="D94" s="397"/>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494"/>
      <c r="AQ94" s="342"/>
    </row>
    <row r="95" spans="1:46">
      <c r="A95" s="342"/>
      <c r="B95" s="342"/>
      <c r="C95" s="342"/>
      <c r="D95" s="344"/>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c r="AO95" s="342"/>
      <c r="AP95" s="342"/>
      <c r="AQ95" s="342"/>
    </row>
    <row r="96" spans="1:46">
      <c r="A96" s="342"/>
      <c r="B96" s="342"/>
      <c r="C96" s="342"/>
      <c r="D96" s="344"/>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row>
    <row r="97" spans="1:43">
      <c r="A97" s="342"/>
      <c r="B97" s="342"/>
      <c r="C97" s="342"/>
      <c r="D97" s="344"/>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row>
    <row r="100" spans="1:43" ht="15.75" thickBot="1"/>
    <row r="101" spans="1:43" s="362" customFormat="1" ht="13.5" thickBot="1">
      <c r="D101" s="370"/>
      <c r="F101" s="584" t="s">
        <v>1283</v>
      </c>
      <c r="G101" s="585"/>
      <c r="H101" s="585"/>
      <c r="I101" s="586"/>
      <c r="J101" s="584" t="s">
        <v>1284</v>
      </c>
      <c r="K101" s="585"/>
      <c r="L101" s="585"/>
      <c r="M101" s="585"/>
      <c r="N101" s="585"/>
      <c r="O101" s="371"/>
      <c r="P101" s="371"/>
      <c r="Q101" s="372" t="s">
        <v>1285</v>
      </c>
      <c r="R101" s="373"/>
      <c r="S101" s="531"/>
      <c r="T101" s="531"/>
      <c r="U101" s="531"/>
      <c r="V101" s="531"/>
      <c r="AK101" s="374"/>
    </row>
    <row r="102" spans="1:43" s="362" customFormat="1" ht="13.5" thickBot="1">
      <c r="D102" s="370"/>
      <c r="F102" s="375"/>
      <c r="G102" s="376"/>
      <c r="H102" s="376"/>
      <c r="I102" s="377"/>
      <c r="J102" s="523" t="s">
        <v>17</v>
      </c>
      <c r="K102" s="524"/>
      <c r="L102" s="524" t="s">
        <v>1231</v>
      </c>
      <c r="M102" s="524"/>
      <c r="N102" s="524" t="s">
        <v>19</v>
      </c>
      <c r="O102" s="524"/>
      <c r="P102" s="589"/>
      <c r="Q102" s="587" t="s">
        <v>801</v>
      </c>
      <c r="R102" s="588"/>
      <c r="S102" s="532"/>
      <c r="T102" s="532"/>
      <c r="U102" s="532"/>
      <c r="V102" s="532"/>
      <c r="AK102" s="374"/>
    </row>
    <row r="103" spans="1:43" s="362" customFormat="1" ht="12.75">
      <c r="D103" s="370"/>
      <c r="F103" s="378" t="s">
        <v>1286</v>
      </c>
      <c r="G103" s="379"/>
      <c r="H103" s="379"/>
      <c r="I103" s="380"/>
      <c r="J103" s="509">
        <v>4</v>
      </c>
      <c r="K103" s="510"/>
      <c r="L103" s="510">
        <v>13</v>
      </c>
      <c r="M103" s="510"/>
      <c r="N103" s="510">
        <v>400</v>
      </c>
      <c r="O103" s="510"/>
      <c r="P103" s="520"/>
      <c r="Q103" s="521">
        <v>65</v>
      </c>
      <c r="R103" s="522"/>
      <c r="S103" s="381"/>
      <c r="T103" s="594"/>
      <c r="U103" s="594"/>
      <c r="V103" s="594"/>
      <c r="AK103" s="374"/>
    </row>
    <row r="104" spans="1:43" s="362" customFormat="1" ht="12.75">
      <c r="D104" s="370"/>
      <c r="F104" s="382" t="s">
        <v>1287</v>
      </c>
      <c r="G104" s="383"/>
      <c r="H104" s="383"/>
      <c r="I104" s="384"/>
      <c r="J104" s="570">
        <v>8</v>
      </c>
      <c r="K104" s="571"/>
      <c r="L104" s="571">
        <v>32</v>
      </c>
      <c r="M104" s="571"/>
      <c r="N104" s="571">
        <v>1000</v>
      </c>
      <c r="O104" s="571"/>
      <c r="P104" s="590"/>
      <c r="Q104" s="582">
        <v>65</v>
      </c>
      <c r="R104" s="583"/>
      <c r="S104" s="381"/>
      <c r="T104" s="594"/>
      <c r="U104" s="594"/>
      <c r="V104" s="594"/>
      <c r="AK104" s="374"/>
    </row>
    <row r="105" spans="1:43" s="362" customFormat="1" ht="12.75">
      <c r="D105" s="370"/>
      <c r="F105" s="382" t="s">
        <v>1288</v>
      </c>
      <c r="G105" s="383"/>
      <c r="H105" s="383"/>
      <c r="I105" s="384"/>
      <c r="J105" s="570">
        <v>13</v>
      </c>
      <c r="K105" s="571"/>
      <c r="L105" s="571">
        <v>50</v>
      </c>
      <c r="M105" s="571"/>
      <c r="N105" s="571">
        <v>1600</v>
      </c>
      <c r="O105" s="571"/>
      <c r="P105" s="590"/>
      <c r="Q105" s="582">
        <v>60</v>
      </c>
      <c r="R105" s="583"/>
      <c r="S105" s="381"/>
      <c r="T105" s="594"/>
      <c r="U105" s="594"/>
      <c r="V105" s="594"/>
      <c r="AK105" s="374"/>
    </row>
    <row r="106" spans="1:43" s="362" customFormat="1" ht="12.75">
      <c r="D106" s="370"/>
      <c r="F106" s="382" t="s">
        <v>1289</v>
      </c>
      <c r="G106" s="383"/>
      <c r="H106" s="383"/>
      <c r="I106" s="384"/>
      <c r="J106" s="570">
        <v>20</v>
      </c>
      <c r="K106" s="571"/>
      <c r="L106" s="571">
        <v>80</v>
      </c>
      <c r="M106" s="571"/>
      <c r="N106" s="571">
        <v>3000</v>
      </c>
      <c r="O106" s="571"/>
      <c r="P106" s="590"/>
      <c r="Q106" s="582">
        <v>50</v>
      </c>
      <c r="R106" s="583"/>
      <c r="S106" s="381"/>
      <c r="T106" s="594"/>
      <c r="U106" s="594"/>
      <c r="V106" s="594"/>
      <c r="AK106" s="374"/>
    </row>
    <row r="107" spans="1:43" s="362" customFormat="1" ht="12.75">
      <c r="D107" s="370"/>
      <c r="F107" s="382" t="s">
        <v>1249</v>
      </c>
      <c r="G107" s="383"/>
      <c r="H107" s="383"/>
      <c r="I107" s="384"/>
      <c r="J107" s="570">
        <v>32</v>
      </c>
      <c r="K107" s="571"/>
      <c r="L107" s="571">
        <v>130</v>
      </c>
      <c r="M107" s="571"/>
      <c r="N107" s="571">
        <v>4500</v>
      </c>
      <c r="O107" s="571"/>
      <c r="P107" s="590"/>
      <c r="Q107" s="582">
        <v>45</v>
      </c>
      <c r="R107" s="583"/>
      <c r="S107" s="381"/>
      <c r="T107" s="594"/>
      <c r="U107" s="594"/>
      <c r="V107" s="594"/>
      <c r="AK107" s="374"/>
    </row>
    <row r="108" spans="1:43" s="362" customFormat="1" ht="12.75">
      <c r="D108" s="370"/>
      <c r="F108" s="382" t="s">
        <v>1290</v>
      </c>
      <c r="G108" s="383"/>
      <c r="H108" s="383"/>
      <c r="I108" s="384"/>
      <c r="J108" s="570">
        <v>50</v>
      </c>
      <c r="K108" s="571"/>
      <c r="L108" s="571">
        <v>240</v>
      </c>
      <c r="M108" s="571"/>
      <c r="N108" s="571">
        <v>7000</v>
      </c>
      <c r="O108" s="571"/>
      <c r="P108" s="590"/>
      <c r="Q108" s="582">
        <v>40</v>
      </c>
      <c r="R108" s="583"/>
      <c r="S108" s="381"/>
      <c r="T108" s="594"/>
      <c r="U108" s="594"/>
      <c r="V108" s="594"/>
      <c r="AK108" s="374"/>
    </row>
    <row r="109" spans="1:43" s="362" customFormat="1" ht="12.75">
      <c r="D109" s="370"/>
      <c r="F109" s="382" t="s">
        <v>1291</v>
      </c>
      <c r="G109" s="383"/>
      <c r="H109" s="383"/>
      <c r="I109" s="384"/>
      <c r="J109" s="570">
        <v>65</v>
      </c>
      <c r="K109" s="571"/>
      <c r="L109" s="571">
        <v>375</v>
      </c>
      <c r="M109" s="571"/>
      <c r="N109" s="571">
        <v>8000</v>
      </c>
      <c r="O109" s="571"/>
      <c r="P109" s="590"/>
      <c r="Q109" s="582">
        <v>33</v>
      </c>
      <c r="R109" s="583"/>
      <c r="S109" s="381"/>
      <c r="T109" s="594"/>
      <c r="U109" s="594"/>
      <c r="V109" s="594"/>
      <c r="AK109" s="374"/>
    </row>
    <row r="110" spans="1:43" s="362" customFormat="1" ht="12.75">
      <c r="D110" s="370"/>
      <c r="F110" s="382" t="s">
        <v>1292</v>
      </c>
      <c r="G110" s="383"/>
      <c r="H110" s="383"/>
      <c r="I110" s="384"/>
      <c r="J110" s="570">
        <v>80</v>
      </c>
      <c r="K110" s="571"/>
      <c r="L110" s="571">
        <v>375</v>
      </c>
      <c r="M110" s="571"/>
      <c r="N110" s="571">
        <v>10000</v>
      </c>
      <c r="O110" s="571"/>
      <c r="P110" s="590"/>
      <c r="Q110" s="582">
        <v>33</v>
      </c>
      <c r="R110" s="583"/>
      <c r="S110" s="381"/>
      <c r="T110" s="594"/>
      <c r="U110" s="594"/>
      <c r="V110" s="594"/>
      <c r="AK110" s="374"/>
    </row>
    <row r="111" spans="1:43" s="362" customFormat="1" ht="12.75">
      <c r="D111" s="370"/>
      <c r="F111" s="382" t="s">
        <v>1293</v>
      </c>
      <c r="G111" s="383"/>
      <c r="H111" s="383"/>
      <c r="I111" s="384"/>
      <c r="J111" s="570">
        <v>120</v>
      </c>
      <c r="K111" s="571"/>
      <c r="L111" s="571">
        <v>600</v>
      </c>
      <c r="M111" s="571"/>
      <c r="N111" s="571">
        <v>14000</v>
      </c>
      <c r="O111" s="571"/>
      <c r="P111" s="590"/>
      <c r="Q111" s="582">
        <v>33</v>
      </c>
      <c r="R111" s="583"/>
      <c r="S111" s="381"/>
      <c r="T111" s="594"/>
      <c r="U111" s="594"/>
      <c r="V111" s="594"/>
      <c r="AK111" s="374"/>
    </row>
    <row r="112" spans="1:43" s="362" customFormat="1" ht="12.75">
      <c r="D112" s="370"/>
      <c r="F112" s="382" t="s">
        <v>1294</v>
      </c>
      <c r="G112" s="383"/>
      <c r="H112" s="383"/>
      <c r="I112" s="384"/>
      <c r="J112" s="570">
        <v>130</v>
      </c>
      <c r="K112" s="571"/>
      <c r="L112" s="571">
        <v>650</v>
      </c>
      <c r="M112" s="571"/>
      <c r="N112" s="571">
        <v>17000</v>
      </c>
      <c r="O112" s="571"/>
      <c r="P112" s="590"/>
      <c r="Q112" s="582">
        <v>33</v>
      </c>
      <c r="R112" s="583"/>
      <c r="S112" s="381"/>
      <c r="T112" s="594"/>
      <c r="U112" s="594"/>
      <c r="V112" s="594"/>
      <c r="AK112" s="374"/>
    </row>
    <row r="113" spans="4:37" s="362" customFormat="1" ht="12.75">
      <c r="D113" s="370"/>
      <c r="F113" s="382" t="s">
        <v>1295</v>
      </c>
      <c r="G113" s="383"/>
      <c r="H113" s="383"/>
      <c r="I113" s="384"/>
      <c r="J113" s="570">
        <v>200</v>
      </c>
      <c r="K113" s="571"/>
      <c r="L113" s="571">
        <v>975</v>
      </c>
      <c r="M113" s="571"/>
      <c r="N113" s="571">
        <v>20000</v>
      </c>
      <c r="O113" s="571"/>
      <c r="P113" s="590"/>
      <c r="Q113" s="582">
        <v>33</v>
      </c>
      <c r="R113" s="583"/>
      <c r="S113" s="381"/>
      <c r="T113" s="594"/>
      <c r="U113" s="594"/>
      <c r="V113" s="594"/>
      <c r="AK113" s="374"/>
    </row>
    <row r="114" spans="4:37" s="362" customFormat="1" ht="12.75">
      <c r="D114" s="370"/>
      <c r="F114" s="385" t="s">
        <v>1296</v>
      </c>
      <c r="G114" s="386"/>
      <c r="H114" s="386"/>
      <c r="I114" s="387"/>
      <c r="J114" s="509">
        <v>260</v>
      </c>
      <c r="K114" s="510"/>
      <c r="L114" s="510">
        <v>1000</v>
      </c>
      <c r="M114" s="510"/>
      <c r="N114" s="510">
        <v>26000</v>
      </c>
      <c r="O114" s="510"/>
      <c r="P114" s="520"/>
      <c r="Q114" s="521">
        <v>33</v>
      </c>
      <c r="R114" s="522"/>
      <c r="S114" s="381"/>
      <c r="T114" s="594"/>
      <c r="U114" s="594"/>
      <c r="V114" s="594"/>
      <c r="AK114" s="374"/>
    </row>
    <row r="115" spans="4:37" s="362" customFormat="1" ht="12.75">
      <c r="D115" s="370"/>
      <c r="F115" s="385" t="s">
        <v>1297</v>
      </c>
      <c r="G115" s="386"/>
      <c r="H115" s="386"/>
      <c r="I115" s="387"/>
      <c r="J115" s="509">
        <v>320</v>
      </c>
      <c r="K115" s="510"/>
      <c r="L115" s="510">
        <v>1500</v>
      </c>
      <c r="M115" s="510"/>
      <c r="N115" s="510">
        <v>32000</v>
      </c>
      <c r="O115" s="510"/>
      <c r="P115" s="520"/>
      <c r="Q115" s="521">
        <v>33</v>
      </c>
      <c r="R115" s="522"/>
      <c r="S115" s="381"/>
      <c r="T115" s="594"/>
      <c r="U115" s="594"/>
      <c r="V115" s="594"/>
      <c r="AK115" s="374"/>
    </row>
    <row r="116" spans="4:37" s="362" customFormat="1" ht="12.75">
      <c r="D116" s="370"/>
      <c r="F116" s="385" t="s">
        <v>1298</v>
      </c>
      <c r="G116" s="386"/>
      <c r="H116" s="386"/>
      <c r="I116" s="387"/>
      <c r="J116" s="509">
        <v>360</v>
      </c>
      <c r="K116" s="510"/>
      <c r="L116" s="510">
        <v>1500</v>
      </c>
      <c r="M116" s="510"/>
      <c r="N116" s="510">
        <v>36000</v>
      </c>
      <c r="O116" s="510"/>
      <c r="P116" s="520"/>
      <c r="Q116" s="521">
        <v>32</v>
      </c>
      <c r="R116" s="522"/>
      <c r="S116" s="381"/>
      <c r="T116" s="594"/>
      <c r="U116" s="594"/>
      <c r="V116" s="594"/>
      <c r="AK116" s="374"/>
    </row>
    <row r="117" spans="4:37" s="362" customFormat="1" ht="12.75">
      <c r="D117" s="370"/>
      <c r="F117" s="385" t="s">
        <v>1299</v>
      </c>
      <c r="G117" s="386"/>
      <c r="H117" s="386"/>
      <c r="I117" s="387"/>
      <c r="J117" s="509">
        <v>400</v>
      </c>
      <c r="K117" s="510"/>
      <c r="L117" s="510">
        <v>2000</v>
      </c>
      <c r="M117" s="510"/>
      <c r="N117" s="510">
        <v>40000</v>
      </c>
      <c r="O117" s="510"/>
      <c r="P117" s="520"/>
      <c r="Q117" s="521">
        <v>30</v>
      </c>
      <c r="R117" s="522"/>
      <c r="S117" s="381"/>
      <c r="T117" s="594"/>
      <c r="U117" s="594"/>
      <c r="V117" s="594"/>
      <c r="AK117" s="374"/>
    </row>
    <row r="118" spans="4:37" s="362" customFormat="1" ht="12.75">
      <c r="D118" s="370"/>
      <c r="F118" s="385" t="s">
        <v>1300</v>
      </c>
      <c r="G118" s="386"/>
      <c r="H118" s="386"/>
      <c r="I118" s="387"/>
      <c r="J118" s="509">
        <v>400</v>
      </c>
      <c r="K118" s="510"/>
      <c r="L118" s="510">
        <v>2000</v>
      </c>
      <c r="M118" s="510"/>
      <c r="N118" s="510">
        <v>45000</v>
      </c>
      <c r="O118" s="510"/>
      <c r="P118" s="520"/>
      <c r="Q118" s="521">
        <v>30</v>
      </c>
      <c r="R118" s="522"/>
      <c r="S118" s="381"/>
      <c r="T118" s="594"/>
      <c r="U118" s="594"/>
      <c r="V118" s="594"/>
      <c r="AK118" s="374"/>
    </row>
    <row r="119" spans="4:37" s="362" customFormat="1" ht="12.75">
      <c r="D119" s="370"/>
      <c r="F119" s="385" t="s">
        <v>1301</v>
      </c>
      <c r="G119" s="386"/>
      <c r="H119" s="386"/>
      <c r="I119" s="387"/>
      <c r="J119" s="509">
        <v>400</v>
      </c>
      <c r="K119" s="510"/>
      <c r="L119" s="510">
        <v>2400</v>
      </c>
      <c r="M119" s="510"/>
      <c r="N119" s="510">
        <v>50000</v>
      </c>
      <c r="O119" s="510"/>
      <c r="P119" s="520"/>
      <c r="Q119" s="521">
        <v>30</v>
      </c>
      <c r="R119" s="522"/>
      <c r="S119" s="381"/>
      <c r="T119" s="594"/>
      <c r="U119" s="594"/>
      <c r="V119" s="594"/>
      <c r="AK119" s="374"/>
    </row>
    <row r="120" spans="4:37" s="362" customFormat="1" ht="12.75">
      <c r="D120" s="370"/>
      <c r="F120" s="385" t="s">
        <v>1302</v>
      </c>
      <c r="G120" s="386"/>
      <c r="H120" s="386"/>
      <c r="I120" s="387"/>
      <c r="J120" s="509">
        <v>525</v>
      </c>
      <c r="K120" s="510"/>
      <c r="L120" s="510">
        <v>3750</v>
      </c>
      <c r="M120" s="510"/>
      <c r="N120" s="510">
        <v>58000</v>
      </c>
      <c r="O120" s="510"/>
      <c r="P120" s="520"/>
      <c r="Q120" s="521">
        <v>30</v>
      </c>
      <c r="R120" s="522"/>
      <c r="S120" s="381"/>
      <c r="T120" s="594"/>
      <c r="U120" s="594"/>
      <c r="V120" s="594"/>
      <c r="AK120" s="374"/>
    </row>
    <row r="121" spans="4:37" s="362" customFormat="1" ht="12.75">
      <c r="D121" s="370"/>
      <c r="F121" s="385" t="s">
        <v>1303</v>
      </c>
      <c r="G121" s="386"/>
      <c r="H121" s="386"/>
      <c r="I121" s="387"/>
      <c r="J121" s="509">
        <v>650</v>
      </c>
      <c r="K121" s="510"/>
      <c r="L121" s="510">
        <v>3750</v>
      </c>
      <c r="M121" s="510"/>
      <c r="N121" s="510">
        <v>66000</v>
      </c>
      <c r="O121" s="510"/>
      <c r="P121" s="520"/>
      <c r="Q121" s="521">
        <v>30</v>
      </c>
      <c r="R121" s="522"/>
      <c r="S121" s="381"/>
      <c r="T121" s="594"/>
      <c r="U121" s="594"/>
      <c r="V121" s="594"/>
      <c r="AK121" s="374"/>
    </row>
    <row r="122" spans="4:37" s="362" customFormat="1" ht="12.75">
      <c r="D122" s="370"/>
      <c r="F122" s="385" t="s">
        <v>1304</v>
      </c>
      <c r="G122" s="386"/>
      <c r="H122" s="386"/>
      <c r="I122" s="387"/>
      <c r="J122" s="509">
        <v>650</v>
      </c>
      <c r="K122" s="510"/>
      <c r="L122" s="510">
        <v>5000</v>
      </c>
      <c r="M122" s="510"/>
      <c r="N122" s="510">
        <v>73000</v>
      </c>
      <c r="O122" s="510"/>
      <c r="P122" s="520"/>
      <c r="Q122" s="521">
        <v>30</v>
      </c>
      <c r="R122" s="522"/>
      <c r="S122" s="381"/>
      <c r="T122" s="594"/>
      <c r="U122" s="594"/>
      <c r="V122" s="594"/>
      <c r="AK122" s="374"/>
    </row>
    <row r="123" spans="4:37" s="362" customFormat="1" ht="12.75">
      <c r="D123" s="370"/>
      <c r="F123" s="385" t="s">
        <v>1305</v>
      </c>
      <c r="G123" s="386"/>
      <c r="H123" s="386"/>
      <c r="I123" s="387"/>
      <c r="J123" s="509">
        <v>650</v>
      </c>
      <c r="K123" s="510"/>
      <c r="L123" s="510">
        <v>5000</v>
      </c>
      <c r="M123" s="510"/>
      <c r="N123" s="510">
        <v>80000</v>
      </c>
      <c r="O123" s="510"/>
      <c r="P123" s="520"/>
      <c r="Q123" s="521">
        <v>30</v>
      </c>
      <c r="R123" s="522"/>
    </row>
    <row r="124" spans="4:37">
      <c r="F124" s="385" t="s">
        <v>1306</v>
      </c>
      <c r="G124" s="386"/>
      <c r="H124" s="386"/>
      <c r="I124" s="387"/>
      <c r="J124" s="509">
        <v>1300</v>
      </c>
      <c r="K124" s="510"/>
      <c r="L124" s="510">
        <v>6000</v>
      </c>
      <c r="M124" s="510"/>
      <c r="N124" s="510">
        <v>85000</v>
      </c>
      <c r="O124" s="510"/>
      <c r="P124" s="520"/>
      <c r="Q124" s="521">
        <v>30</v>
      </c>
      <c r="R124" s="522"/>
    </row>
    <row r="125" spans="4:37">
      <c r="F125" s="385" t="s">
        <v>1307</v>
      </c>
      <c r="G125" s="386"/>
      <c r="H125" s="386"/>
      <c r="I125" s="387"/>
      <c r="J125" s="509">
        <v>1400</v>
      </c>
      <c r="K125" s="510"/>
      <c r="L125" s="510">
        <v>6500</v>
      </c>
      <c r="M125" s="510"/>
      <c r="N125" s="510">
        <v>90000</v>
      </c>
      <c r="O125" s="510"/>
      <c r="P125" s="520"/>
      <c r="Q125" s="521">
        <v>28</v>
      </c>
      <c r="R125" s="522"/>
    </row>
    <row r="126" spans="4:37">
      <c r="F126" s="385" t="s">
        <v>1308</v>
      </c>
      <c r="G126" s="386"/>
      <c r="H126" s="386"/>
      <c r="I126" s="387"/>
      <c r="J126" s="509">
        <v>1500</v>
      </c>
      <c r="K126" s="510"/>
      <c r="L126" s="510">
        <v>7000</v>
      </c>
      <c r="M126" s="510"/>
      <c r="N126" s="510">
        <v>95000</v>
      </c>
      <c r="O126" s="510"/>
      <c r="P126" s="520"/>
      <c r="Q126" s="521">
        <v>28</v>
      </c>
      <c r="R126" s="522"/>
    </row>
    <row r="127" spans="4:37">
      <c r="F127" s="388" t="s">
        <v>1309</v>
      </c>
      <c r="G127" s="389"/>
      <c r="H127" s="389"/>
      <c r="I127" s="390"/>
      <c r="J127" s="511">
        <v>1600</v>
      </c>
      <c r="K127" s="512"/>
      <c r="L127" s="512">
        <v>7000</v>
      </c>
      <c r="M127" s="512"/>
      <c r="N127" s="512">
        <v>100000</v>
      </c>
      <c r="O127" s="512"/>
      <c r="P127" s="596"/>
      <c r="Q127" s="597">
        <v>27</v>
      </c>
      <c r="R127" s="598"/>
    </row>
    <row r="128" spans="4:37">
      <c r="F128" s="385" t="s">
        <v>1310</v>
      </c>
      <c r="G128" s="386"/>
      <c r="H128" s="386"/>
      <c r="I128" s="387"/>
      <c r="J128" s="509">
        <v>2000</v>
      </c>
      <c r="K128" s="510"/>
      <c r="L128" s="510">
        <v>7300</v>
      </c>
      <c r="M128" s="510"/>
      <c r="N128" s="510">
        <v>110000</v>
      </c>
      <c r="O128" s="510"/>
      <c r="P128" s="520"/>
      <c r="Q128" s="521">
        <v>26</v>
      </c>
      <c r="R128" s="522"/>
    </row>
    <row r="129" spans="6:18" ht="15.75" thickBot="1">
      <c r="F129" s="391" t="s">
        <v>1311</v>
      </c>
      <c r="G129" s="392"/>
      <c r="H129" s="392"/>
      <c r="I129" s="393"/>
      <c r="J129" s="577">
        <v>2300</v>
      </c>
      <c r="K129" s="578"/>
      <c r="L129" s="578">
        <v>8600</v>
      </c>
      <c r="M129" s="578"/>
      <c r="N129" s="578">
        <v>130000</v>
      </c>
      <c r="O129" s="578"/>
      <c r="P129" s="579"/>
      <c r="Q129" s="580">
        <v>25</v>
      </c>
      <c r="R129" s="581"/>
    </row>
  </sheetData>
  <sheetProtection algorithmName="SHA-512" hashValue="PrTTAZn5dPUz01JbLPbrhabHzp6JHR70Hpa8hs+vwCPAOS3ZC7oSvZ1ktkvV4EB68tUonZ8ZeLAAgHgnZNIRBw==" saltValue="s1rRd52T9pmcIOrqrh0EOA==" spinCount="100000" sheet="1" objects="1" scenarios="1"/>
  <dataConsolidate/>
  <mergeCells count="290">
    <mergeCell ref="T108:V108"/>
    <mergeCell ref="T109:V109"/>
    <mergeCell ref="T110:V110"/>
    <mergeCell ref="N106:P106"/>
    <mergeCell ref="T111:V111"/>
    <mergeCell ref="T119:V119"/>
    <mergeCell ref="J109:K109"/>
    <mergeCell ref="J110:K110"/>
    <mergeCell ref="J111:K111"/>
    <mergeCell ref="J112:K112"/>
    <mergeCell ref="J113:K113"/>
    <mergeCell ref="J118:K118"/>
    <mergeCell ref="J119:K119"/>
    <mergeCell ref="T112:V112"/>
    <mergeCell ref="N115:P115"/>
    <mergeCell ref="N116:P116"/>
    <mergeCell ref="L119:M119"/>
    <mergeCell ref="N109:P109"/>
    <mergeCell ref="N110:P110"/>
    <mergeCell ref="J108:K108"/>
    <mergeCell ref="Q113:R113"/>
    <mergeCell ref="Q114:R114"/>
    <mergeCell ref="T113:V113"/>
    <mergeCell ref="T118:V118"/>
    <mergeCell ref="L127:M127"/>
    <mergeCell ref="N127:P127"/>
    <mergeCell ref="Q127:R127"/>
    <mergeCell ref="R76:T76"/>
    <mergeCell ref="L125:M125"/>
    <mergeCell ref="N125:P125"/>
    <mergeCell ref="V52:W52"/>
    <mergeCell ref="Q125:R125"/>
    <mergeCell ref="L124:M124"/>
    <mergeCell ref="L117:M117"/>
    <mergeCell ref="N103:P103"/>
    <mergeCell ref="N104:P104"/>
    <mergeCell ref="L103:M103"/>
    <mergeCell ref="T104:V104"/>
    <mergeCell ref="T105:V105"/>
    <mergeCell ref="T106:V106"/>
    <mergeCell ref="T107:V107"/>
    <mergeCell ref="R62:T62"/>
    <mergeCell ref="V62:Y62"/>
    <mergeCell ref="R72:T72"/>
    <mergeCell ref="R70:T70"/>
    <mergeCell ref="R68:T68"/>
    <mergeCell ref="R66:T66"/>
    <mergeCell ref="R64:T64"/>
    <mergeCell ref="T121:V121"/>
    <mergeCell ref="J114:K114"/>
    <mergeCell ref="J115:K115"/>
    <mergeCell ref="J116:K116"/>
    <mergeCell ref="J117:K117"/>
    <mergeCell ref="L121:M121"/>
    <mergeCell ref="N124:P124"/>
    <mergeCell ref="Q124:R124"/>
    <mergeCell ref="L123:M123"/>
    <mergeCell ref="N123:P123"/>
    <mergeCell ref="Q123:R123"/>
    <mergeCell ref="T122:V122"/>
    <mergeCell ref="N121:P121"/>
    <mergeCell ref="Q122:R122"/>
    <mergeCell ref="Q115:R115"/>
    <mergeCell ref="Q116:R116"/>
    <mergeCell ref="Q117:R117"/>
    <mergeCell ref="Q118:R118"/>
    <mergeCell ref="N122:P122"/>
    <mergeCell ref="T120:V120"/>
    <mergeCell ref="T114:V114"/>
    <mergeCell ref="T115:V115"/>
    <mergeCell ref="T116:V116"/>
    <mergeCell ref="T117:V117"/>
    <mergeCell ref="N118:P118"/>
    <mergeCell ref="N119:P119"/>
    <mergeCell ref="N117:P117"/>
    <mergeCell ref="L111:M111"/>
    <mergeCell ref="L114:M114"/>
    <mergeCell ref="L115:M115"/>
    <mergeCell ref="L122:M122"/>
    <mergeCell ref="N120:P120"/>
    <mergeCell ref="Q119:R119"/>
    <mergeCell ref="Q120:R120"/>
    <mergeCell ref="L118:M118"/>
    <mergeCell ref="L120:M120"/>
    <mergeCell ref="L116:M116"/>
    <mergeCell ref="Q104:R104"/>
    <mergeCell ref="Q105:R105"/>
    <mergeCell ref="N112:P112"/>
    <mergeCell ref="N105:P105"/>
    <mergeCell ref="Q110:R110"/>
    <mergeCell ref="N113:P113"/>
    <mergeCell ref="N114:P114"/>
    <mergeCell ref="N111:P111"/>
    <mergeCell ref="N108:P108"/>
    <mergeCell ref="Q107:R107"/>
    <mergeCell ref="Q108:R108"/>
    <mergeCell ref="Q112:R112"/>
    <mergeCell ref="L107:M107"/>
    <mergeCell ref="L104:M104"/>
    <mergeCell ref="Q109:R109"/>
    <mergeCell ref="AM50:AN50"/>
    <mergeCell ref="X50:Y50"/>
    <mergeCell ref="AH76:AI76"/>
    <mergeCell ref="N50:U50"/>
    <mergeCell ref="E40:L40"/>
    <mergeCell ref="W36:Z36"/>
    <mergeCell ref="AE36:AH36"/>
    <mergeCell ref="AF42:AL42"/>
    <mergeCell ref="E36:J36"/>
    <mergeCell ref="T103:V103"/>
    <mergeCell ref="AC52:AJ52"/>
    <mergeCell ref="V48:W48"/>
    <mergeCell ref="AF40:AL40"/>
    <mergeCell ref="AF44:AL44"/>
    <mergeCell ref="N48:U48"/>
    <mergeCell ref="AC46:AJ46"/>
    <mergeCell ref="AC48:AJ48"/>
    <mergeCell ref="E41:W43"/>
    <mergeCell ref="E46:L46"/>
    <mergeCell ref="N46:U46"/>
    <mergeCell ref="J106:K106"/>
    <mergeCell ref="J129:K129"/>
    <mergeCell ref="L129:M129"/>
    <mergeCell ref="N129:P129"/>
    <mergeCell ref="Q129:R129"/>
    <mergeCell ref="Q121:R121"/>
    <mergeCell ref="Q106:R106"/>
    <mergeCell ref="Q111:R111"/>
    <mergeCell ref="F101:I101"/>
    <mergeCell ref="Q102:R102"/>
    <mergeCell ref="J101:N101"/>
    <mergeCell ref="L102:M102"/>
    <mergeCell ref="N102:P102"/>
    <mergeCell ref="Q103:R103"/>
    <mergeCell ref="L112:M112"/>
    <mergeCell ref="L113:M113"/>
    <mergeCell ref="L108:M108"/>
    <mergeCell ref="L109:M109"/>
    <mergeCell ref="L110:M110"/>
    <mergeCell ref="N107:P107"/>
    <mergeCell ref="L105:M105"/>
    <mergeCell ref="L106:M106"/>
    <mergeCell ref="J103:K103"/>
    <mergeCell ref="J104:K104"/>
    <mergeCell ref="J105:K105"/>
    <mergeCell ref="J107:K107"/>
    <mergeCell ref="V50:W50"/>
    <mergeCell ref="V64:Y64"/>
    <mergeCell ref="AM54:AN54"/>
    <mergeCell ref="AE54:AL54"/>
    <mergeCell ref="X52:Y52"/>
    <mergeCell ref="Z28:AD28"/>
    <mergeCell ref="D7:D10"/>
    <mergeCell ref="K20:AN20"/>
    <mergeCell ref="E13:J13"/>
    <mergeCell ref="E14:J14"/>
    <mergeCell ref="K14:AN14"/>
    <mergeCell ref="K8:P8"/>
    <mergeCell ref="E16:J16"/>
    <mergeCell ref="AK8:AN8"/>
    <mergeCell ref="K36:O36"/>
    <mergeCell ref="AC50:AJ50"/>
    <mergeCell ref="E34:J34"/>
    <mergeCell ref="E28:J28"/>
    <mergeCell ref="AI36:AN36"/>
    <mergeCell ref="R40:W40"/>
    <mergeCell ref="V46:W46"/>
    <mergeCell ref="X46:Y46"/>
    <mergeCell ref="X48:Y48"/>
    <mergeCell ref="N60:Q60"/>
    <mergeCell ref="N53:AN53"/>
    <mergeCell ref="AE30:AN30"/>
    <mergeCell ref="AK52:AL52"/>
    <mergeCell ref="AK50:AL50"/>
    <mergeCell ref="K28:W28"/>
    <mergeCell ref="AE28:AN28"/>
    <mergeCell ref="AM52:AN52"/>
    <mergeCell ref="AM46:AN46"/>
    <mergeCell ref="AM48:AN48"/>
    <mergeCell ref="AK48:AL48"/>
    <mergeCell ref="AK46:AL46"/>
    <mergeCell ref="AM44:AN44"/>
    <mergeCell ref="N70:Q70"/>
    <mergeCell ref="V78:Y78"/>
    <mergeCell ref="R74:S74"/>
    <mergeCell ref="E62:M62"/>
    <mergeCell ref="N66:Q66"/>
    <mergeCell ref="E64:M64"/>
    <mergeCell ref="N64:Q64"/>
    <mergeCell ref="Z62:AA62"/>
    <mergeCell ref="AH62:AI62"/>
    <mergeCell ref="AH68:AI68"/>
    <mergeCell ref="AD74:AG74"/>
    <mergeCell ref="AH74:AI74"/>
    <mergeCell ref="Z68:AA68"/>
    <mergeCell ref="AH72:AI72"/>
    <mergeCell ref="AD68:AG68"/>
    <mergeCell ref="Z72:AA72"/>
    <mergeCell ref="AD72:AG72"/>
    <mergeCell ref="AD76:AG76"/>
    <mergeCell ref="Z76:AA76"/>
    <mergeCell ref="AD70:AG70"/>
    <mergeCell ref="Z78:AB78"/>
    <mergeCell ref="AH78:AJ78"/>
    <mergeCell ref="E30:J30"/>
    <mergeCell ref="N52:U52"/>
    <mergeCell ref="Z26:AD26"/>
    <mergeCell ref="AE26:AN26"/>
    <mergeCell ref="K30:W30"/>
    <mergeCell ref="N62:Q62"/>
    <mergeCell ref="E66:M66"/>
    <mergeCell ref="AK93:AO93"/>
    <mergeCell ref="AE56:AL56"/>
    <mergeCell ref="AM56:AN56"/>
    <mergeCell ref="AH66:AI66"/>
    <mergeCell ref="AD78:AG78"/>
    <mergeCell ref="V60:Y60"/>
    <mergeCell ref="E54:L54"/>
    <mergeCell ref="N54:W54"/>
    <mergeCell ref="Y54:AD54"/>
    <mergeCell ref="AD60:AG60"/>
    <mergeCell ref="E60:M60"/>
    <mergeCell ref="N72:Q72"/>
    <mergeCell ref="V74:Y74"/>
    <mergeCell ref="E74:M74"/>
    <mergeCell ref="N74:Q74"/>
    <mergeCell ref="R78:T78"/>
    <mergeCell ref="Z74:AA74"/>
    <mergeCell ref="E3:AE3"/>
    <mergeCell ref="E4:AE4"/>
    <mergeCell ref="E5:AE5"/>
    <mergeCell ref="Z24:AD24"/>
    <mergeCell ref="K16:AN16"/>
    <mergeCell ref="AE24:AN24"/>
    <mergeCell ref="Z22:AD22"/>
    <mergeCell ref="K22:W22"/>
    <mergeCell ref="E22:J22"/>
    <mergeCell ref="E24:J24"/>
    <mergeCell ref="AC8:AI8"/>
    <mergeCell ref="K18:AN18"/>
    <mergeCell ref="AE22:AN22"/>
    <mergeCell ref="K24:W24"/>
    <mergeCell ref="AD86:AG86"/>
    <mergeCell ref="V66:Y66"/>
    <mergeCell ref="J102:K102"/>
    <mergeCell ref="E76:M76"/>
    <mergeCell ref="C89:X89"/>
    <mergeCell ref="E84:M84"/>
    <mergeCell ref="R86:S86"/>
    <mergeCell ref="N76:Q76"/>
    <mergeCell ref="E78:M78"/>
    <mergeCell ref="T86:AC86"/>
    <mergeCell ref="E82:M82"/>
    <mergeCell ref="S101:V101"/>
    <mergeCell ref="S102:V102"/>
    <mergeCell ref="V76:Y76"/>
    <mergeCell ref="N84:Q84"/>
    <mergeCell ref="E68:M68"/>
    <mergeCell ref="N68:Q68"/>
    <mergeCell ref="V68:Y68"/>
    <mergeCell ref="V70:Y70"/>
    <mergeCell ref="V72:Y72"/>
    <mergeCell ref="E72:M72"/>
    <mergeCell ref="Z66:AA66"/>
    <mergeCell ref="V84:AL84"/>
    <mergeCell ref="AH86:AI86"/>
    <mergeCell ref="C91:AA91"/>
    <mergeCell ref="J126:K126"/>
    <mergeCell ref="J127:K127"/>
    <mergeCell ref="J128:K128"/>
    <mergeCell ref="AD62:AG62"/>
    <mergeCell ref="AD64:AG64"/>
    <mergeCell ref="C90:X90"/>
    <mergeCell ref="E86:M86"/>
    <mergeCell ref="N78:Q78"/>
    <mergeCell ref="N86:Q86"/>
    <mergeCell ref="E70:M70"/>
    <mergeCell ref="J120:K120"/>
    <mergeCell ref="J121:K121"/>
    <mergeCell ref="J122:K122"/>
    <mergeCell ref="J123:K123"/>
    <mergeCell ref="J124:K124"/>
    <mergeCell ref="J125:K125"/>
    <mergeCell ref="L128:M128"/>
    <mergeCell ref="N128:P128"/>
    <mergeCell ref="Q128:R128"/>
    <mergeCell ref="L126:M126"/>
    <mergeCell ref="N126:P126"/>
    <mergeCell ref="Q126:R126"/>
    <mergeCell ref="AD66:AG66"/>
  </mergeCells>
  <phoneticPr fontId="23" type="noConversion"/>
  <conditionalFormatting sqref="Q36 Z30 D70 D36 M40 Y40 D62 D68 D86">
    <cfRule type="expression" dxfId="168" priority="42" stopIfTrue="1">
      <formula>schalter1=2</formula>
    </cfRule>
  </conditionalFormatting>
  <conditionalFormatting sqref="N86 AC8 K14 K28 K36 W36 R40 N54 N62 AD62 N68 V68 AD68 V70 N70 AD70 AD86 K8">
    <cfRule type="expression" dxfId="167" priority="43" stopIfTrue="1">
      <formula>farbe=1</formula>
    </cfRule>
  </conditionalFormatting>
  <conditionalFormatting sqref="AK8:AN8 K16:AN16 K18:AN18 K20:AN20 K22:W22 K24:W24 AE22:AN22 AE24:AN24 AE26:AN26 AE28:AN28 AE30:AN30 K30:W30 AI36:AN36 AF40:AL40 N84:Q84 AK46 AK48 AK50 V52 V50 V48 V46 V62:Y62 N64:Q64 V64:Y64 AD64:AG64 N66:Q66 V66:Y66 AD66:AG66 N72:Q72 V72:Y72 AD72:AG72 N74:Q74 V74:Y74 AD74:AG74 N76:Q76 V76:Y76 AD76:AG76 N78:Q78 V78:Y78 AD78:AG78 N46 AC46 N48 AC48 N50 AC50 N52 AC52 AK52 AF42">
    <cfRule type="expression" dxfId="166" priority="44">
      <formula>farbe=1</formula>
    </cfRule>
  </conditionalFormatting>
  <conditionalFormatting sqref="AE54:AL54">
    <cfRule type="expression" dxfId="165" priority="45" stopIfTrue="1">
      <formula>IF(AND(farbe=1,OR($Y54&lt;&gt;"",$Y54&lt;&gt;"",$Y54&lt;&gt;"")),TRUE,FALSE)</formula>
    </cfRule>
    <cfRule type="expression" dxfId="164" priority="46" stopIfTrue="1">
      <formula>OR($Y54&lt;&gt;"",$Y54&lt;&gt;"",$Y54&lt;&gt;"")</formula>
    </cfRule>
  </conditionalFormatting>
  <conditionalFormatting sqref="AE56:AL56">
    <cfRule type="expression" dxfId="163" priority="47" stopIfTrue="1">
      <formula>IF(AND(farbe=1,OR($Y54&lt;&gt;"",$Y54&lt;&gt;"",$Y54&lt;&gt;"")),TRUE,FALSE)</formula>
    </cfRule>
    <cfRule type="expression" dxfId="162" priority="48" stopIfTrue="1">
      <formula>OR($Y54&lt;&gt;"",$Y54&lt;&gt;"",$Y54&lt;&gt;"")</formula>
    </cfRule>
  </conditionalFormatting>
  <conditionalFormatting sqref="AH86:AI86">
    <cfRule type="expression" dxfId="161" priority="41" stopIfTrue="1">
      <formula>AND($R$86="")</formula>
    </cfRule>
  </conditionalFormatting>
  <conditionalFormatting sqref="AH62">
    <cfRule type="expression" dxfId="160" priority="40" stopIfTrue="1">
      <formula>AND($R$62="")</formula>
    </cfRule>
  </conditionalFormatting>
  <conditionalFormatting sqref="Z64 AH64">
    <cfRule type="expression" dxfId="159" priority="39" stopIfTrue="1">
      <formula>AND($R$64="")</formula>
    </cfRule>
  </conditionalFormatting>
  <conditionalFormatting sqref="Z66 AH66">
    <cfRule type="expression" dxfId="158" priority="38" stopIfTrue="1">
      <formula>AND($R$66="")</formula>
    </cfRule>
  </conditionalFormatting>
  <conditionalFormatting sqref="Z68 AH68">
    <cfRule type="expression" dxfId="157" priority="37" stopIfTrue="1">
      <formula>AND($R$68="")</formula>
    </cfRule>
  </conditionalFormatting>
  <conditionalFormatting sqref="Z70 AH70">
    <cfRule type="expression" dxfId="156" priority="36" stopIfTrue="1">
      <formula>AND($R$70="")</formula>
    </cfRule>
  </conditionalFormatting>
  <conditionalFormatting sqref="Z72 AH72">
    <cfRule type="expression" dxfId="155" priority="35" stopIfTrue="1">
      <formula>AND($R$72="")</formula>
    </cfRule>
  </conditionalFormatting>
  <conditionalFormatting sqref="Z76 AH76">
    <cfRule type="expression" dxfId="154" priority="34" stopIfTrue="1">
      <formula>AND($R$76="")</formula>
    </cfRule>
  </conditionalFormatting>
  <conditionalFormatting sqref="Z78 AH78">
    <cfRule type="expression" dxfId="153" priority="33" stopIfTrue="1">
      <formula>AND($R$78="")</formula>
    </cfRule>
  </conditionalFormatting>
  <conditionalFormatting sqref="V84:AL84">
    <cfRule type="containsText" dxfId="152" priority="4" operator="containsText" text="Описание">
      <formula>NOT(ISERROR(SEARCH("Описание",V84)))</formula>
    </cfRule>
    <cfRule type="cellIs" dxfId="151" priority="5" operator="equal">
      <formula>""""""</formula>
    </cfRule>
    <cfRule type="cellIs" dxfId="150" priority="6" operator="equal">
      <formula>"""Описание"""</formula>
    </cfRule>
    <cfRule type="containsText" dxfId="149" priority="7" operator="containsText" text="&quot;Описание&quot;">
      <formula>NOT(ISERROR(SEARCH("""Описание""",V84)))</formula>
    </cfRule>
    <cfRule type="expression" dxfId="148" priority="29" stopIfTrue="1">
      <formula>AND(farbe=1,$N$84=Yes_E)</formula>
    </cfRule>
  </conditionalFormatting>
  <conditionalFormatting sqref="V46:W46">
    <cfRule type="expression" dxfId="147" priority="23" stopIfTrue="1">
      <formula>AND(Hinw_Gas_01=Hinw_Gas_Lang,Gasz01&lt;&gt;"")</formula>
    </cfRule>
  </conditionalFormatting>
  <conditionalFormatting sqref="AK46:AL46">
    <cfRule type="expression" dxfId="146" priority="22" stopIfTrue="1">
      <formula>AND(Hinw_Gas_01=Hinw_Gas_Lang,Gasz02&lt;&gt;"")</formula>
    </cfRule>
  </conditionalFormatting>
  <conditionalFormatting sqref="V48:W48">
    <cfRule type="expression" dxfId="145" priority="21" stopIfTrue="1">
      <formula>AND(Hinw_Gas_01=Hinw_Gas_Lang,Gasz03&lt;&gt;"")</formula>
    </cfRule>
  </conditionalFormatting>
  <conditionalFormatting sqref="AK48:AL48">
    <cfRule type="expression" dxfId="144" priority="20" stopIfTrue="1">
      <formula>AND(Hinw_Gas_01=Hinw_Gas_Lang,Gasz04&lt;&gt;"")</formula>
    </cfRule>
  </conditionalFormatting>
  <conditionalFormatting sqref="V50:W50">
    <cfRule type="expression" dxfId="143" priority="19" stopIfTrue="1">
      <formula>AND(Hinw_Gas_01=Hinw_Gas_Lang,Gasz05&lt;&gt;"")</formula>
    </cfRule>
  </conditionalFormatting>
  <conditionalFormatting sqref="AK50:AL50">
    <cfRule type="expression" dxfId="142" priority="18" stopIfTrue="1">
      <formula>AND(Hinw_Gas_01=Hinw_Gas_Lang,Gasz06&lt;&gt;"")</formula>
    </cfRule>
  </conditionalFormatting>
  <conditionalFormatting sqref="V52:W52">
    <cfRule type="expression" dxfId="141" priority="17" stopIfTrue="1">
      <formula>AND(Hinw_Gas_01=Hinw_Gas_Lang,Gasz07&lt;&gt;"")</formula>
    </cfRule>
  </conditionalFormatting>
  <conditionalFormatting sqref="AK52:AL52">
    <cfRule type="expression" dxfId="140" priority="16" stopIfTrue="1">
      <formula>AND(Hinw_Gas_01=Hinw_Gas_Lang,Gasz08&lt;&gt;"")</formula>
    </cfRule>
  </conditionalFormatting>
  <conditionalFormatting sqref="AE44">
    <cfRule type="expression" dxfId="139" priority="13" stopIfTrue="1">
      <formula>AND($AF$42=Condition_Ja)</formula>
    </cfRule>
  </conditionalFormatting>
  <conditionalFormatting sqref="AF44:AL44">
    <cfRule type="expression" dxfId="138" priority="11" stopIfTrue="1">
      <formula>AND(farbe=1,$AF$42=Condition_Ja)</formula>
    </cfRule>
    <cfRule type="expression" dxfId="137" priority="12" stopIfTrue="1">
      <formula>AND($AF$42=Condition_Ja)</formula>
    </cfRule>
  </conditionalFormatting>
  <conditionalFormatting sqref="AM44:AN44">
    <cfRule type="expression" dxfId="136" priority="10" stopIfTrue="1">
      <formula>$AF$42=Condition_Ja</formula>
    </cfRule>
  </conditionalFormatting>
  <conditionalFormatting sqref="Y44">
    <cfRule type="expression" dxfId="135" priority="9" stopIfTrue="1">
      <formula>AND(schalter1=1,$AF$42=Condition_Ja)</formula>
    </cfRule>
  </conditionalFormatting>
  <conditionalFormatting sqref="AM54:AN54 AM56:AN56">
    <cfRule type="expression" dxfId="134" priority="8" stopIfTrue="1">
      <formula>OR(Druckregler_Ja_1=$N$54,Druckregler_Ja_2=$N$54)</formula>
    </cfRule>
  </conditionalFormatting>
  <dataValidations xWindow="409" yWindow="811" count="34">
    <dataValidation type="decimal" allowBlank="1" showInputMessage="1" showErrorMessage="1" error="Value out of range for this meter size (see table below)_x000a_Wert außerhalb der Spezifikation für diese Zählergröße (siehe untenstehende Tabelle)_x000a_Значение не соответствует счетчику данного размера (см. таблицу ниже)" sqref="V62:Y62">
      <formula1>AR62</formula1>
      <formula2>AS62</formula2>
    </dataValidation>
    <dataValidation type="decimal" allowBlank="1" showInputMessage="1" showErrorMessage="1" error="Value out of range for this meter size (see table below)_x000a_Wert außerhalb der Spezifikation für diese Zählergröße (siehe untenstehende Tabelle)_x000a_Значение не соответствует счетчику данного размера (см. таблицу ниже)" sqref="AD62:AG62">
      <formula1>AR62</formula1>
      <formula2>AS62</formula2>
    </dataValidation>
    <dataValidation type="decimal" allowBlank="1" showInputMessage="1" showErrorMessage="1" error="Value out of range for this meter size (see table below)_x000a_Wert außerhalb der Spezifikation für diese Zählergröße (siehe untenstehende Tabelle)_x000a_Значение не соответствует счетчику данного размера (см. таблицу ниже)" sqref="N62:Q62">
      <formula1>AR62</formula1>
      <formula2>AS62</formula2>
    </dataValidation>
    <dataValidation type="decimal" allowBlank="1" showErrorMessage="1" error="Minimum / Минимум_x000a_ -194 °C / -317 °F" sqref="N68:Q68">
      <formula1>AR68</formula1>
      <formula2>AS68</formula2>
    </dataValidation>
    <dataValidation type="decimal" allowBlank="1" showInputMessage="1" showErrorMessage="1" error="Minimum / Минимум_x000a_0 bar(g) / 0 psi(g)" sqref="N70:Q70">
      <formula1>AR70</formula1>
      <formula2>AS70</formula2>
    </dataValidation>
    <dataValidation type="decimal" allowBlank="1" showInputMessage="1" showErrorMessage="1" error="Minimum  / Минимум_x000a_ -40 °C / -40 °F_x000a__x000a_Maximum / Максимум_x000a_280 °C / 536 °F" sqref="V68:Y68">
      <formula1>AR68</formula1>
      <formula2>AS68</formula2>
    </dataValidation>
    <dataValidation type="decimal" allowBlank="1" showInputMessage="1" showErrorMessage="1" error="Maximum / Максимум_x000a_280 °C / 536 °F" sqref="AD68:AG68">
      <formula1>AR68</formula1>
      <formula2>AS68</formula2>
    </dataValidation>
    <dataValidation type="decimal" allowBlank="1" showInputMessage="1" showErrorMessage="1" error="Maximum / Максимум_x000a_450 bar(g) / 6500 psi(g)" sqref="AD70:AG70">
      <formula1>AR70</formula1>
      <formula2>AS70</formula2>
    </dataValidation>
    <dataValidation type="decimal" allowBlank="1" showInputMessage="1" showErrorMessage="1" error="Minimum / Минимум _x000a_0 bar(g) / 0 psi(g)_x000a__x000a_Maximum / Максимум_x000a_450 bar(g) / 6500 psi(g)" sqref="V70:Y70">
      <formula1>AR70</formula1>
      <formula2>AS70</formula2>
    </dataValidation>
    <dataValidation type="decimal" allowBlank="1" showInputMessage="1" showErrorMessage="1" error="Minimum / Минимум_x000a_-40 °C / -40 °F" sqref="N86:Q86">
      <formula1>AR86</formula1>
      <formula2>AS86</formula2>
    </dataValidation>
    <dataValidation type="list" allowBlank="1" showErrorMessage="1" errorTitle="Notice / Hinweis" error="Value out of range._x000a_Значение вне диапазона._x000a_Wert außerhalb des gültigen Bereiches." sqref="W36:Z36">
      <formula1>IF(VALUE(LEFT(K36,2))=2,pathconfig,pathconfig1)</formula1>
    </dataValidation>
    <dataValidation type="decimal" allowBlank="1" showInputMessage="1" showErrorMessage="1" error="Maximum / Максимум_x000a_140 °C / 60 °F" sqref="AD86:AG86">
      <formula1>AR86</formula1>
      <formula2>AS86</formula2>
    </dataValidation>
    <dataValidation type="list" allowBlank="1" showInputMessage="1" showErrorMessage="1" errorTitle="Notice / Hinweis" error="Value out of range._x000a_Значение вне диапазона._x000a_Wert außerhalb des gültigen Bereiches." sqref="AF40:AL40">
      <formula1>abrcor</formula1>
    </dataValidation>
    <dataValidation type="list" showErrorMessage="1" errorTitle="Language" error="This langauge don't give in this questionnaire." promptTitle="Langaug" sqref="L9:P9 K9">
      <formula1>language</formula1>
    </dataValidation>
    <dataValidation type="decimal" allowBlank="1" showInputMessage="1" showErrorMessage="1" sqref="V48 V50 V52 V46 AK50 AK48 AK46 AK52">
      <formula1>0.1</formula1>
      <formula2>100</formula2>
    </dataValidation>
    <dataValidation type="list" allowBlank="1" showErrorMessage="1" errorTitle="Notice / Hinweis" error="Value out of range._x000a_Значение вне диапазона._x000a_Wert außerhalb des gültigen Bereiches." sqref="N84:Q84">
      <formula1>YesNo</formula1>
    </dataValidation>
    <dataValidation type="list" allowBlank="1" showInputMessage="1" showErrorMessage="1" errorTitle="Notice / Hinweis" error="Value out of range._x000a_Значение вне диапазона._x000a_Wert außerhalb des gültigen Bereiches." sqref="R68:T68 R86:S86">
      <formula1>Einheit_05</formula1>
    </dataValidation>
    <dataValidation type="list" allowBlank="1" showInputMessage="1" showErrorMessage="1" errorTitle="Notice / Hinweis" error="Value out of range._x000a_Wert außerhalb des gültigen Bereiches." sqref="AM44:AN44">
      <formula1>Einheit_01</formula1>
    </dataValidation>
    <dataValidation type="list" allowBlank="1" showInputMessage="1" showErrorMessage="1" errorTitle="Notice / Hinweis" error="Value out of range._x000a_Wert außerhalb des gültigen Bereiches." sqref="AM54:AN54">
      <formula1>Einheit_12</formula1>
    </dataValidation>
    <dataValidation type="list" allowBlank="1" showInputMessage="1" showErrorMessage="1" errorTitle="Notice / Hinweis" error="Value out of range._x000a_Wert außerhalb des gültigen Bereiches." sqref="AM56:AN56 R70:T70">
      <formula1>Einheit_06</formula1>
    </dataValidation>
    <dataValidation type="list" allowBlank="1" showInputMessage="1" showErrorMessage="1" errorTitle="Notice / Hinweis" error="Value out of range._x000a_Значение вне диапазона._x000a_Wert außerhalb des gültigen Bereiches." sqref="R62:T62">
      <formula1>Einheit_02</formula1>
    </dataValidation>
    <dataValidation type="list" allowBlank="1" showInputMessage="1" showErrorMessage="1" errorTitle="Notice / Hinweis" error="Value out of range._x000a_Значение вне диапазона._x000a_Wert außerhalb des gültigen Bereiches." sqref="R64:T64">
      <formula1>Einheit_03</formula1>
    </dataValidation>
    <dataValidation type="list" allowBlank="1" showInputMessage="1" showErrorMessage="1" errorTitle="Notice / Hinweis" error="Value out of range._x000a_Значение вне диапазона._x000a_Wert außerhalb des gültigen Bereiches." sqref="R66:T66">
      <formula1>Einheit_04</formula1>
    </dataValidation>
    <dataValidation type="list" allowBlank="1" showInputMessage="1" showErrorMessage="1" errorTitle="Notice / Hinweis" error="Value out of range._x000a_Значение вне диапазона._x000a_Wert außerhalb des gültigen Bereiches." sqref="R72:T72">
      <formula1>Einheit_07</formula1>
    </dataValidation>
    <dataValidation type="list" allowBlank="1" showInputMessage="1" showErrorMessage="1" errorTitle="Notice / Hinweis" error="Value out of range._x000a_Значение вне диапазона._x000a_Wert außerhalb des gültigen Bereiches." sqref="R76:T76">
      <formula1>Einheit_08</formula1>
    </dataValidation>
    <dataValidation type="list" allowBlank="1" showInputMessage="1" showErrorMessage="1" errorTitle="Notice / Hinweis" error="Value out of range._x000a_Значение вне диапазона._x000a_Wert außerhalb des gültigen Bereiches." sqref="R78:T78">
      <formula1>Einheit_09</formula1>
    </dataValidation>
    <dataValidation type="list" allowBlank="1" showErrorMessage="1" errorTitle="Notice / Hinweis" error="Value out of range._x000a_Значение вне диапазона._x000a_Wert außerhalb des gültigen Bereiches." sqref="K36:O36">
      <formula1>metersize</formula1>
    </dataValidation>
    <dataValidation type="list" allowBlank="1" showErrorMessage="1" errorTitle="Notice / Hinweis" error="Value out of range._x000a_Значение вне диапазона._x000a_Wert außerhalb des gültigen Bereiches." sqref="AI36:AN36">
      <formula1>gklasse</formula1>
    </dataValidation>
    <dataValidation type="list" allowBlank="1" showErrorMessage="1" errorTitle="Notice / Hinweis" error="Value out of range._x000a_Значение вне диапазона._x000a_Wert außerhalb des gültigen Bereiches." promptTitle="Others" prompt="Gas eingeben" sqref="R40:W40">
      <formula1>gas</formula1>
    </dataValidation>
    <dataValidation allowBlank="1" showInputMessage="1" showErrorMessage="1" errorTitle="Notice / Hinweis" error="Value out of range._x000a_Wert außerhalb des gültigen Bereiches." sqref="R62:T62 R64:T64 R66:T66 R68:T68 R78:T78 R72:T72 R76:T76"/>
    <dataValidation type="list" allowBlank="1" showErrorMessage="1" errorTitle="Notice / Hinweis" error="Value out of range._x000a_Значение вне диапазона._x000a_Wert außerhalb des gültigen Bereiches." sqref="N46:U46 N48:U48 N50:U50 N52:U52 AC46:AJ46 AC48:AJ48 AC50:AJ50 AC52:AJ52">
      <formula1>gascomposition</formula1>
    </dataValidation>
    <dataValidation type="list" allowBlank="1" showInputMessage="1" showErrorMessage="1" errorTitle="Notice / Hinweis" error="Value out of range._x000a_Значение вне диапазона._x000a_Wert außerhalb des gültigen Bereiches." sqref="N54:W54">
      <formula1>druckregler</formula1>
    </dataValidation>
    <dataValidation type="list" allowBlank="1" showInputMessage="1" showErrorMessage="1" errorTitle="Notice / Hinweis" error="Value out of range._x000a_Значение вне диапазона._x000a_Wert außerhalb des gültigen Bereiches." sqref="AF42:AL42">
      <formula1>condition</formula1>
    </dataValidation>
    <dataValidation type="list" allowBlank="1" showInputMessage="1" showErrorMessage="1" errorTitle="Notice / Hinweis" error="Value out of range._x000a_Значение вне диапазона._x000a_Wert außerhalb des gültigen Bereiches." sqref="R70:T70">
      <formula1>Einheit_06</formula1>
    </dataValidation>
  </dataValidations>
  <pageMargins left="0.39370078740157483" right="0.39370078740157483" top="0.39370078740157483" bottom="0.39370078740157483" header="0.31496062992125984" footer="0.19685039370078741"/>
  <pageSetup paperSize="9" scale="67" orientation="portrait" horizontalDpi="4294967295"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1E8F647A-2FC9-4EDE-A5BF-1AA7BA34E268}">
            <xm:f>NOT(ISERROR(SEARCH($V$84,V84)))</xm:f>
            <xm:f>$V$84</xm:f>
            <x14:dxf>
              <fill>
                <patternFill>
                  <bgColor rgb="FFDCE6F1"/>
                </patternFill>
              </fill>
              <border>
                <left style="thin">
                  <color auto="1"/>
                </left>
                <right style="thin">
                  <color auto="1"/>
                </right>
                <top style="thin">
                  <color auto="1"/>
                </top>
                <bottom style="thin">
                  <color auto="1"/>
                </bottom>
                <vertical/>
                <horizontal/>
              </border>
            </x14:dxf>
          </x14:cfRule>
          <x14:cfRule type="containsText" priority="2" operator="containsText" id="{DDA7A683-1323-4A72-9B6A-82D0880BCBC9}">
            <xm:f>NOT(ISERROR(SEARCH($V$84,V84)))</xm:f>
            <xm:f>$V$84</xm:f>
            <x14:dxf>
              <fill>
                <patternFill>
                  <bgColor rgb="FFCCECFF"/>
                </patternFill>
              </fill>
              <border>
                <left style="thin">
                  <color auto="1"/>
                </left>
                <right style="thin">
                  <color auto="1"/>
                </right>
                <top style="thin">
                  <color auto="1"/>
                </top>
                <bottom style="thin">
                  <color auto="1"/>
                </bottom>
                <vertical/>
                <horizontal/>
              </border>
            </x14:dxf>
          </x14:cfRule>
          <x14:cfRule type="containsText" priority="3" operator="containsText" id="{94093126-22C4-4B79-BFF9-47C430D6BCB9}">
            <xm:f>NOT(ISERROR(SEARCH($V$84,V84)))</xm:f>
            <xm:f>$V$84</xm:f>
            <x14:dxf>
              <fill>
                <patternFill>
                  <bgColor rgb="FFCCCCFF"/>
                </patternFill>
              </fill>
              <border>
                <left style="thin">
                  <color auto="1"/>
                </left>
                <right style="thin">
                  <color auto="1"/>
                </right>
                <top style="thin">
                  <color auto="1"/>
                </top>
                <bottom style="thin">
                  <color auto="1"/>
                </bottom>
                <vertical/>
                <horizontal/>
              </border>
            </x14:dxf>
          </x14:cfRule>
          <xm:sqref>V84:AL84</xm:sqref>
        </x14:conditionalFormatting>
      </x14:conditionalFormattings>
    </ext>
    <ext xmlns:x14="http://schemas.microsoft.com/office/spreadsheetml/2009/9/main" uri="{CCE6A557-97BC-4b89-ADB6-D9C93CAAB3DF}">
      <x14:dataValidations xmlns:xm="http://schemas.microsoft.com/office/excel/2006/main" xWindow="409" yWindow="811" count="1">
        <x14:dataValidation type="list" showErrorMessage="1" errorTitle="Language" error="This langauge don't give in this questionnaire." promptTitle="Langaug">
          <x14:formula1>
            <xm:f>language!$B$1:$E$1</xm:f>
          </x14:formula1>
          <xm:sqref>K8:P8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X87"/>
  <sheetViews>
    <sheetView showGridLines="0" topLeftCell="A13" zoomScale="85" zoomScaleNormal="85" workbookViewId="0">
      <selection activeCell="M10" sqref="M10:T10"/>
    </sheetView>
  </sheetViews>
  <sheetFormatPr defaultColWidth="11.42578125" defaultRowHeight="14.25"/>
  <cols>
    <col min="1" max="1" width="17.140625" style="394" customWidth="1"/>
    <col min="2" max="2" width="3.140625" style="394" customWidth="1"/>
    <col min="3" max="3" width="1.42578125" style="395" customWidth="1"/>
    <col min="4" max="4" width="6.85546875" style="441" customWidth="1"/>
    <col min="5" max="9" width="3.140625" style="394" customWidth="1"/>
    <col min="10" max="10" width="3.28515625" style="394" customWidth="1"/>
    <col min="11" max="11" width="3.140625" style="394" customWidth="1"/>
    <col min="12" max="12" width="7.7109375" style="394" customWidth="1"/>
    <col min="13" max="19" width="4.42578125" style="394" customWidth="1"/>
    <col min="20" max="20" width="3.140625" style="394" customWidth="1"/>
    <col min="21" max="21" width="3.5703125" style="394" customWidth="1"/>
    <col min="22" max="22" width="4.140625" style="394" customWidth="1"/>
    <col min="23" max="25" width="3.140625" style="394" customWidth="1"/>
    <col min="26" max="26" width="3.42578125" style="394" customWidth="1"/>
    <col min="27" max="27" width="2.42578125" style="394" customWidth="1"/>
    <col min="28" max="28" width="5" style="394" customWidth="1"/>
    <col min="29" max="29" width="3.140625" style="394" customWidth="1"/>
    <col min="30" max="30" width="6.42578125" style="394" customWidth="1"/>
    <col min="31" max="33" width="3.140625" style="394" customWidth="1"/>
    <col min="34" max="34" width="3.28515625" style="394" customWidth="1"/>
    <col min="35" max="37" width="3.140625" style="394" customWidth="1"/>
    <col min="38" max="38" width="3.28515625" style="394" customWidth="1"/>
    <col min="39" max="40" width="3.140625" style="394" customWidth="1"/>
    <col min="41" max="41" width="2.7109375" style="394" customWidth="1"/>
    <col min="42" max="42" width="1.42578125" style="394" customWidth="1"/>
    <col min="43" max="43" width="17.140625" style="394" customWidth="1"/>
    <col min="44" max="46" width="11.42578125" style="454"/>
    <col min="47" max="48" width="11.42578125" style="447"/>
    <col min="49" max="16384" width="11.42578125" style="394"/>
  </cols>
  <sheetData>
    <row r="1" spans="1:48">
      <c r="A1" s="438"/>
      <c r="B1" s="438"/>
      <c r="C1" s="439"/>
      <c r="D1" s="440"/>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394"/>
      <c r="AS1" s="394"/>
      <c r="AT1" s="394"/>
      <c r="AU1" s="394"/>
      <c r="AV1" s="394"/>
    </row>
    <row r="2" spans="1:48">
      <c r="A2" s="438"/>
      <c r="AQ2" s="438"/>
      <c r="AR2" s="394"/>
      <c r="AS2" s="394"/>
      <c r="AT2" s="394"/>
      <c r="AU2" s="394"/>
      <c r="AV2" s="394"/>
    </row>
    <row r="3" spans="1:48" ht="23.25">
      <c r="A3" s="438"/>
      <c r="E3" s="537" t="str">
        <f ca="1">language!A4</f>
        <v>Опросный лист</v>
      </c>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Q3" s="438"/>
      <c r="AR3" s="394"/>
      <c r="AS3" s="394"/>
      <c r="AT3" s="394"/>
      <c r="AU3" s="394"/>
      <c r="AV3" s="394"/>
    </row>
    <row r="4" spans="1:48" ht="27.75">
      <c r="A4" s="438"/>
      <c r="E4" s="538" t="s">
        <v>1242</v>
      </c>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Q4" s="438"/>
      <c r="AR4" s="394"/>
      <c r="AS4" s="394"/>
      <c r="AT4" s="394"/>
      <c r="AU4" s="394"/>
      <c r="AV4" s="394"/>
    </row>
    <row r="5" spans="1:48" ht="23.25">
      <c r="A5" s="438"/>
      <c r="E5" s="539" t="str">
        <f ca="1">language!A5</f>
        <v>Счетчик газа ультразвуковой</v>
      </c>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Q5" s="438"/>
      <c r="AR5" s="394"/>
      <c r="AS5" s="394"/>
      <c r="AT5" s="394"/>
      <c r="AU5" s="394"/>
      <c r="AV5" s="394"/>
    </row>
    <row r="6" spans="1:48" ht="12.75" customHeight="1">
      <c r="A6" s="438"/>
      <c r="E6" s="442"/>
      <c r="AQ6" s="438"/>
      <c r="AR6" s="394"/>
      <c r="AS6" s="394"/>
      <c r="AT6" s="394"/>
      <c r="AU6" s="394"/>
      <c r="AV6" s="394"/>
    </row>
    <row r="7" spans="1:48" ht="15">
      <c r="A7" s="438"/>
      <c r="C7" s="415"/>
      <c r="D7" s="416"/>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5"/>
      <c r="AP7" s="396"/>
      <c r="AQ7" s="438"/>
      <c r="AR7" s="394"/>
      <c r="AS7" s="394"/>
      <c r="AT7" s="394"/>
      <c r="AU7" s="394"/>
      <c r="AV7" s="394"/>
    </row>
    <row r="8" spans="1:48" ht="15.75">
      <c r="A8" s="438"/>
      <c r="C8" s="417"/>
      <c r="D8" s="422"/>
      <c r="E8" s="530" t="str">
        <f ca="1">language!A123</f>
        <v>Счетчик</v>
      </c>
      <c r="F8" s="530"/>
      <c r="G8" s="530"/>
      <c r="H8" s="530"/>
      <c r="I8" s="530"/>
      <c r="J8" s="530"/>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08"/>
      <c r="AP8" s="396"/>
      <c r="AQ8" s="438"/>
      <c r="AR8" s="394"/>
      <c r="AS8" s="394"/>
      <c r="AT8" s="394"/>
      <c r="AU8" s="394"/>
      <c r="AV8" s="394"/>
    </row>
    <row r="9" spans="1:48" ht="9.75" customHeight="1">
      <c r="A9" s="438"/>
      <c r="C9" s="417"/>
      <c r="D9" s="422"/>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08"/>
      <c r="AP9" s="396"/>
      <c r="AQ9" s="438"/>
      <c r="AR9" s="394"/>
      <c r="AS9" s="394"/>
      <c r="AT9" s="394"/>
      <c r="AU9" s="394"/>
      <c r="AV9" s="394"/>
    </row>
    <row r="10" spans="1:48" ht="15">
      <c r="A10" s="438"/>
      <c r="C10" s="417"/>
      <c r="D10" s="426"/>
      <c r="E10" s="508" t="str">
        <f ca="1">language!A35</f>
        <v>Размер счётчика</v>
      </c>
      <c r="F10" s="508"/>
      <c r="G10" s="508"/>
      <c r="H10" s="508"/>
      <c r="I10" s="508"/>
      <c r="J10" s="508"/>
      <c r="K10" s="508"/>
      <c r="L10" s="508"/>
      <c r="M10" s="574" t="str">
        <f>IF('Page1|Страница 1'!K36&lt;&gt;"",'Page1|Страница 1'!K36,"")</f>
        <v/>
      </c>
      <c r="N10" s="575"/>
      <c r="O10" s="575"/>
      <c r="P10" s="575"/>
      <c r="Q10" s="575"/>
      <c r="R10" s="575"/>
      <c r="S10" s="575"/>
      <c r="T10" s="576"/>
      <c r="U10" s="418"/>
      <c r="V10" s="418"/>
      <c r="W10" s="418"/>
      <c r="X10" s="418"/>
      <c r="Y10" s="418"/>
      <c r="Z10" s="418"/>
      <c r="AA10" s="418"/>
      <c r="AB10" s="418"/>
      <c r="AC10" s="418"/>
      <c r="AD10" s="418"/>
      <c r="AE10" s="418"/>
      <c r="AF10" s="418"/>
      <c r="AG10" s="418"/>
      <c r="AH10" s="418"/>
      <c r="AI10" s="418"/>
      <c r="AJ10" s="418"/>
      <c r="AK10" s="418"/>
      <c r="AL10" s="418"/>
      <c r="AM10" s="418"/>
      <c r="AN10" s="418"/>
      <c r="AO10" s="408"/>
      <c r="AP10" s="396"/>
      <c r="AQ10" s="438"/>
      <c r="AR10" s="394"/>
      <c r="AS10" s="394"/>
      <c r="AT10" s="443"/>
      <c r="AU10" s="394"/>
      <c r="AV10" s="394"/>
    </row>
    <row r="11" spans="1:48" ht="9.75" customHeight="1">
      <c r="A11" s="438"/>
      <c r="C11" s="417"/>
      <c r="D11" s="422"/>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08"/>
      <c r="AP11" s="396"/>
      <c r="AQ11" s="438"/>
      <c r="AR11" s="394"/>
      <c r="AS11" s="394"/>
      <c r="AT11" s="394"/>
      <c r="AU11" s="394"/>
      <c r="AV11" s="394"/>
    </row>
    <row r="12" spans="1:48" ht="15">
      <c r="A12" s="438"/>
      <c r="C12" s="417"/>
      <c r="D12" s="426"/>
      <c r="E12" s="508" t="str">
        <f ca="1">language!A133</f>
        <v>Материал корпуса</v>
      </c>
      <c r="F12" s="508"/>
      <c r="G12" s="508"/>
      <c r="H12" s="508"/>
      <c r="I12" s="508"/>
      <c r="J12" s="508"/>
      <c r="K12" s="508"/>
      <c r="L12" s="519"/>
      <c r="M12" s="513"/>
      <c r="N12" s="514"/>
      <c r="O12" s="514"/>
      <c r="P12" s="514"/>
      <c r="Q12" s="514"/>
      <c r="R12" s="514"/>
      <c r="S12" s="514"/>
      <c r="T12" s="515"/>
      <c r="U12" s="418"/>
      <c r="V12" s="613"/>
      <c r="W12" s="613"/>
      <c r="X12" s="613"/>
      <c r="Y12" s="613"/>
      <c r="Z12" s="613"/>
      <c r="AA12" s="613"/>
      <c r="AB12" s="613"/>
      <c r="AC12" s="613"/>
      <c r="AD12" s="613"/>
      <c r="AE12" s="613"/>
      <c r="AF12" s="613"/>
      <c r="AG12" s="613"/>
      <c r="AH12" s="613"/>
      <c r="AI12" s="613"/>
      <c r="AJ12" s="613"/>
      <c r="AK12" s="613"/>
      <c r="AL12" s="613"/>
      <c r="AM12" s="613"/>
      <c r="AN12" s="613"/>
      <c r="AO12" s="408"/>
      <c r="AP12" s="396"/>
      <c r="AQ12" s="438"/>
      <c r="AR12" s="394"/>
      <c r="AS12" s="394"/>
      <c r="AT12" s="394"/>
      <c r="AU12" s="394"/>
      <c r="AV12" s="394"/>
    </row>
    <row r="13" spans="1:48" ht="9.75" customHeight="1">
      <c r="A13" s="438"/>
      <c r="C13" s="417"/>
      <c r="D13" s="422"/>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08"/>
      <c r="AP13" s="396"/>
      <c r="AQ13" s="438"/>
      <c r="AR13" s="394"/>
      <c r="AS13" s="394"/>
      <c r="AT13" s="394"/>
      <c r="AU13" s="394"/>
      <c r="AV13" s="394"/>
    </row>
    <row r="14" spans="1:48" ht="15">
      <c r="A14" s="438"/>
      <c r="C14" s="417"/>
      <c r="D14" s="426"/>
      <c r="E14" s="508" t="str">
        <f ca="1">language!A124</f>
        <v>Соответ. по давлению</v>
      </c>
      <c r="F14" s="508"/>
      <c r="G14" s="508"/>
      <c r="H14" s="508"/>
      <c r="I14" s="508"/>
      <c r="J14" s="508"/>
      <c r="K14" s="508"/>
      <c r="L14" s="519"/>
      <c r="M14" s="513"/>
      <c r="N14" s="514"/>
      <c r="O14" s="514"/>
      <c r="P14" s="514"/>
      <c r="Q14" s="514"/>
      <c r="R14" s="514"/>
      <c r="S14" s="514"/>
      <c r="T14" s="515"/>
      <c r="U14" s="418"/>
      <c r="V14" s="418"/>
      <c r="W14" s="418"/>
      <c r="X14" s="418"/>
      <c r="Y14" s="418"/>
      <c r="Z14" s="418"/>
      <c r="AA14" s="418"/>
      <c r="AB14" s="418"/>
      <c r="AC14" s="418"/>
      <c r="AD14" s="418"/>
      <c r="AE14" s="418"/>
      <c r="AF14" s="418"/>
      <c r="AG14" s="418"/>
      <c r="AH14" s="418"/>
      <c r="AI14" s="418"/>
      <c r="AJ14" s="418"/>
      <c r="AK14" s="418"/>
      <c r="AL14" s="418"/>
      <c r="AM14" s="418"/>
      <c r="AN14" s="418"/>
      <c r="AO14" s="408"/>
      <c r="AP14" s="396"/>
      <c r="AQ14" s="438"/>
      <c r="AR14" s="394"/>
      <c r="AS14" s="394"/>
      <c r="AT14" s="394"/>
      <c r="AU14" s="394"/>
      <c r="AV14" s="394"/>
    </row>
    <row r="15" spans="1:48" ht="9.75" customHeight="1">
      <c r="A15" s="438"/>
      <c r="C15" s="417"/>
      <c r="D15" s="422"/>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08"/>
      <c r="AP15" s="396"/>
      <c r="AQ15" s="438"/>
      <c r="AR15" s="394"/>
      <c r="AS15" s="394"/>
      <c r="AT15" s="394"/>
      <c r="AU15" s="394"/>
      <c r="AV15" s="394"/>
    </row>
    <row r="16" spans="1:48" s="444" customFormat="1" ht="15">
      <c r="A16" s="439"/>
      <c r="C16" s="406"/>
      <c r="D16" s="426"/>
      <c r="E16" s="508" t="str">
        <f ca="1">language!A126</f>
        <v>Тип фланцев</v>
      </c>
      <c r="F16" s="508"/>
      <c r="G16" s="508"/>
      <c r="H16" s="508"/>
      <c r="I16" s="508"/>
      <c r="J16" s="508"/>
      <c r="K16" s="508"/>
      <c r="L16" s="519"/>
      <c r="M16" s="513"/>
      <c r="N16" s="514"/>
      <c r="O16" s="514"/>
      <c r="P16" s="514"/>
      <c r="Q16" s="514"/>
      <c r="R16" s="514"/>
      <c r="S16" s="514"/>
      <c r="T16" s="515"/>
      <c r="U16" s="419"/>
      <c r="V16" s="455"/>
      <c r="W16" s="455"/>
      <c r="X16" s="455"/>
      <c r="Y16" s="455"/>
      <c r="Z16" s="455"/>
      <c r="AA16" s="455"/>
      <c r="AB16" s="455"/>
      <c r="AC16" s="455"/>
      <c r="AD16" s="455"/>
      <c r="AE16" s="455"/>
      <c r="AF16" s="455"/>
      <c r="AG16" s="455"/>
      <c r="AH16" s="455"/>
      <c r="AI16" s="455"/>
      <c r="AJ16" s="455"/>
      <c r="AK16" s="455"/>
      <c r="AL16" s="419"/>
      <c r="AM16" s="419"/>
      <c r="AN16" s="419"/>
      <c r="AO16" s="408"/>
      <c r="AP16" s="419"/>
      <c r="AQ16" s="439"/>
    </row>
    <row r="17" spans="1:50" ht="9.75" customHeight="1">
      <c r="A17" s="438"/>
      <c r="C17" s="417"/>
      <c r="D17" s="422"/>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08"/>
      <c r="AP17" s="396"/>
      <c r="AQ17" s="438"/>
      <c r="AR17" s="394"/>
      <c r="AS17" s="394"/>
      <c r="AT17" s="394"/>
      <c r="AU17" s="394"/>
      <c r="AV17" s="394"/>
    </row>
    <row r="18" spans="1:50" s="444" customFormat="1" ht="15">
      <c r="A18" s="439"/>
      <c r="C18" s="406"/>
      <c r="D18" s="422"/>
      <c r="E18" s="534" t="str">
        <f ca="1">language!A128</f>
        <v>Вн.диам.подсоед.трубы</v>
      </c>
      <c r="F18" s="534"/>
      <c r="G18" s="534"/>
      <c r="H18" s="534"/>
      <c r="I18" s="534"/>
      <c r="J18" s="534"/>
      <c r="K18" s="534"/>
      <c r="L18" s="626"/>
      <c r="M18" s="513"/>
      <c r="N18" s="514"/>
      <c r="O18" s="514"/>
      <c r="P18" s="514"/>
      <c r="Q18" s="514"/>
      <c r="R18" s="514"/>
      <c r="S18" s="617"/>
      <c r="T18" s="618"/>
      <c r="U18" s="623" t="s">
        <v>523</v>
      </c>
      <c r="V18" s="624"/>
      <c r="W18" s="624"/>
      <c r="X18" s="624"/>
      <c r="Y18" s="624"/>
      <c r="Z18" s="624"/>
      <c r="AA18" s="419"/>
      <c r="AB18" s="419"/>
      <c r="AC18" s="419"/>
      <c r="AD18" s="419"/>
      <c r="AE18" s="419"/>
      <c r="AF18" s="419"/>
      <c r="AG18" s="419"/>
      <c r="AH18" s="419"/>
      <c r="AI18" s="419"/>
      <c r="AJ18" s="419"/>
      <c r="AK18" s="419"/>
      <c r="AL18" s="419"/>
      <c r="AM18" s="431"/>
      <c r="AN18" s="419"/>
      <c r="AO18" s="408"/>
      <c r="AP18" s="419"/>
      <c r="AQ18" s="439"/>
    </row>
    <row r="19" spans="1:50" ht="9.75" customHeight="1">
      <c r="A19" s="438"/>
      <c r="C19" s="417"/>
      <c r="D19" s="422"/>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08"/>
      <c r="AP19" s="396"/>
      <c r="AQ19" s="438"/>
      <c r="AR19" s="394"/>
      <c r="AS19" s="394"/>
      <c r="AT19" s="394"/>
      <c r="AU19" s="394"/>
      <c r="AV19" s="394"/>
    </row>
    <row r="20" spans="1:50" s="444" customFormat="1" ht="15">
      <c r="A20" s="439"/>
      <c r="C20" s="406"/>
      <c r="D20" s="426"/>
      <c r="E20" s="508" t="str">
        <f ca="1">language!A131</f>
        <v>Поверхность фланцев</v>
      </c>
      <c r="F20" s="508"/>
      <c r="G20" s="508"/>
      <c r="H20" s="508"/>
      <c r="I20" s="508"/>
      <c r="J20" s="508"/>
      <c r="K20" s="508"/>
      <c r="L20" s="519"/>
      <c r="M20" s="620"/>
      <c r="N20" s="621"/>
      <c r="O20" s="621"/>
      <c r="P20" s="621"/>
      <c r="Q20" s="621"/>
      <c r="R20" s="621"/>
      <c r="S20" s="621"/>
      <c r="T20" s="622"/>
      <c r="U20" s="419"/>
      <c r="V20" s="528" t="str">
        <f ca="1">IF(OR($M$20=Data!$AW$16,$M$20=Data!$AW$31,$M$20=Data!$AW$32,$M$20=Data!$AW$33,$M$20=Data!$AW$34,$M$20=Data!$AW$35,$M$20=Data!$AW$36,$M$20=Data!$AW$37,$M$20=Data!$AW$38,$M$20=Data!$AW$39),Rauigkeit,"")</f>
        <v/>
      </c>
      <c r="W20" s="528"/>
      <c r="X20" s="528"/>
      <c r="Y20" s="528"/>
      <c r="Z20" s="528"/>
      <c r="AA20" s="528"/>
      <c r="AB20" s="528"/>
      <c r="AC20" s="614"/>
      <c r="AD20" s="615"/>
      <c r="AE20" s="615"/>
      <c r="AF20" s="615"/>
      <c r="AG20" s="615"/>
      <c r="AH20" s="615"/>
      <c r="AI20" s="615"/>
      <c r="AJ20" s="615"/>
      <c r="AK20" s="616"/>
      <c r="AL20" s="456"/>
      <c r="AM20" s="419"/>
      <c r="AN20" s="419"/>
      <c r="AO20" s="408"/>
      <c r="AP20" s="419"/>
      <c r="AQ20" s="439"/>
      <c r="AR20" s="445"/>
    </row>
    <row r="21" spans="1:50" ht="9.75" customHeight="1">
      <c r="A21" s="438"/>
      <c r="C21" s="417"/>
      <c r="D21" s="422"/>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08"/>
      <c r="AP21" s="396"/>
      <c r="AQ21" s="438"/>
      <c r="AR21" s="394"/>
      <c r="AS21" s="394"/>
      <c r="AT21" s="394"/>
      <c r="AU21" s="394"/>
      <c r="AV21" s="394"/>
    </row>
    <row r="22" spans="1:50" ht="14.25" customHeight="1">
      <c r="A22" s="438"/>
      <c r="C22" s="417"/>
      <c r="D22" s="422"/>
      <c r="E22" s="418"/>
      <c r="F22" s="418"/>
      <c r="G22" s="418"/>
      <c r="H22" s="418"/>
      <c r="I22" s="418"/>
      <c r="J22" s="418"/>
      <c r="K22" s="418"/>
      <c r="L22" s="418"/>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418"/>
      <c r="AM22" s="418"/>
      <c r="AN22" s="418"/>
      <c r="AO22" s="408"/>
      <c r="AP22" s="396"/>
      <c r="AQ22" s="438"/>
      <c r="AR22" s="394"/>
      <c r="AS22" s="394"/>
      <c r="AT22" s="394"/>
      <c r="AU22" s="394"/>
      <c r="AV22" s="394"/>
    </row>
    <row r="23" spans="1:50" ht="9.75" customHeight="1">
      <c r="A23" s="438"/>
      <c r="C23" s="417"/>
      <c r="D23" s="422"/>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08"/>
      <c r="AP23" s="396"/>
      <c r="AQ23" s="438"/>
      <c r="AR23" s="394"/>
      <c r="AS23" s="394"/>
      <c r="AT23" s="394"/>
      <c r="AU23" s="394"/>
      <c r="AV23" s="394"/>
    </row>
    <row r="24" spans="1:50" s="444" customFormat="1" ht="15">
      <c r="A24" s="439"/>
      <c r="C24" s="406"/>
      <c r="D24" s="428"/>
      <c r="E24" s="422" t="str">
        <f ca="1">language!A134</f>
        <v>Защит. кожух датчиков</v>
      </c>
      <c r="F24" s="420"/>
      <c r="G24" s="420"/>
      <c r="H24" s="420"/>
      <c r="I24" s="420"/>
      <c r="J24" s="419"/>
      <c r="K24" s="419"/>
      <c r="L24" s="409"/>
      <c r="M24" s="591"/>
      <c r="N24" s="592"/>
      <c r="O24" s="592"/>
      <c r="P24" s="592"/>
      <c r="Q24" s="592"/>
      <c r="R24" s="593"/>
      <c r="S24" s="409"/>
      <c r="T24" s="419"/>
      <c r="U24" s="418"/>
      <c r="V24" s="419"/>
      <c r="W24" s="419"/>
      <c r="X24" s="419"/>
      <c r="Y24" s="419"/>
      <c r="Z24" s="419"/>
      <c r="AA24" s="419"/>
      <c r="AB24" s="419"/>
      <c r="AC24" s="419"/>
      <c r="AD24" s="419"/>
      <c r="AE24" s="419"/>
      <c r="AF24" s="419"/>
      <c r="AG24" s="419"/>
      <c r="AH24" s="419"/>
      <c r="AI24" s="419"/>
      <c r="AJ24" s="419"/>
      <c r="AK24" s="419"/>
      <c r="AL24" s="456"/>
      <c r="AM24" s="419"/>
      <c r="AN24" s="419"/>
      <c r="AO24" s="408"/>
      <c r="AP24" s="419"/>
      <c r="AQ24" s="439"/>
    </row>
    <row r="25" spans="1:50" s="444" customFormat="1" ht="9" customHeight="1">
      <c r="A25" s="439"/>
      <c r="C25" s="406"/>
      <c r="D25" s="422"/>
      <c r="E25" s="422"/>
      <c r="F25" s="422"/>
      <c r="G25" s="422"/>
      <c r="H25" s="422"/>
      <c r="I25" s="422"/>
      <c r="J25" s="422"/>
      <c r="K25" s="422"/>
      <c r="L25" s="422"/>
      <c r="M25" s="455"/>
      <c r="N25" s="455"/>
      <c r="O25" s="455"/>
      <c r="P25" s="455"/>
      <c r="Q25" s="455"/>
      <c r="R25" s="455"/>
      <c r="S25" s="455"/>
      <c r="T25" s="455"/>
      <c r="U25" s="455"/>
      <c r="V25" s="455"/>
      <c r="W25" s="455"/>
      <c r="X25" s="455"/>
      <c r="Y25" s="455"/>
      <c r="Z25" s="455"/>
      <c r="AA25" s="455"/>
      <c r="AB25" s="455"/>
      <c r="AC25" s="419"/>
      <c r="AD25" s="419"/>
      <c r="AE25" s="419"/>
      <c r="AF25" s="419"/>
      <c r="AG25" s="419"/>
      <c r="AH25" s="419"/>
      <c r="AI25" s="455"/>
      <c r="AJ25" s="455"/>
      <c r="AK25" s="455"/>
      <c r="AL25" s="455"/>
      <c r="AM25" s="419"/>
      <c r="AN25" s="419"/>
      <c r="AO25" s="408"/>
      <c r="AP25" s="419"/>
      <c r="AQ25" s="439"/>
      <c r="AW25" s="446"/>
      <c r="AX25" s="446"/>
    </row>
    <row r="26" spans="1:50" s="444" customFormat="1" ht="15">
      <c r="A26" s="439"/>
      <c r="C26" s="406"/>
      <c r="D26" s="426"/>
      <c r="E26" s="508" t="str">
        <f ca="1">language!A135</f>
        <v>Сертификат на материал</v>
      </c>
      <c r="F26" s="508"/>
      <c r="G26" s="508"/>
      <c r="H26" s="508"/>
      <c r="I26" s="508"/>
      <c r="J26" s="508"/>
      <c r="K26" s="508"/>
      <c r="L26" s="508"/>
      <c r="M26" s="609"/>
      <c r="N26" s="610"/>
      <c r="O26" s="610"/>
      <c r="P26" s="610"/>
      <c r="Q26" s="610"/>
      <c r="R26" s="611"/>
      <c r="S26" s="455"/>
      <c r="T26" s="455"/>
      <c r="U26" s="455"/>
      <c r="V26" s="528"/>
      <c r="W26" s="528"/>
      <c r="X26" s="528"/>
      <c r="Y26" s="528"/>
      <c r="Z26" s="528"/>
      <c r="AA26" s="528"/>
      <c r="AB26" s="528"/>
      <c r="AC26" s="612"/>
      <c r="AD26" s="612"/>
      <c r="AE26" s="612"/>
      <c r="AF26" s="612"/>
      <c r="AG26" s="612"/>
      <c r="AH26" s="612"/>
      <c r="AI26" s="612"/>
      <c r="AJ26" s="612"/>
      <c r="AK26" s="612"/>
      <c r="AL26" s="455"/>
      <c r="AM26" s="419"/>
      <c r="AN26" s="419"/>
      <c r="AO26" s="408"/>
      <c r="AP26" s="419"/>
      <c r="AQ26" s="439"/>
      <c r="AW26" s="446"/>
      <c r="AX26" s="446"/>
    </row>
    <row r="27" spans="1:50" ht="9" customHeight="1">
      <c r="A27" s="438"/>
      <c r="C27" s="417"/>
      <c r="D27" s="422"/>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08"/>
      <c r="AP27" s="396"/>
      <c r="AQ27" s="438"/>
      <c r="AR27" s="394"/>
      <c r="AS27" s="394"/>
      <c r="AT27" s="394"/>
      <c r="AU27" s="394"/>
      <c r="AV27" s="394"/>
      <c r="AW27" s="447"/>
      <c r="AX27" s="447"/>
    </row>
    <row r="28" spans="1:50" s="444" customFormat="1" ht="15">
      <c r="A28" s="439"/>
      <c r="C28" s="406"/>
      <c r="D28" s="426"/>
      <c r="E28" s="508" t="str">
        <f ca="1">language!A136</f>
        <v>Мин. расчётная темп.</v>
      </c>
      <c r="F28" s="508"/>
      <c r="G28" s="508"/>
      <c r="H28" s="508"/>
      <c r="I28" s="508"/>
      <c r="J28" s="508"/>
      <c r="K28" s="508"/>
      <c r="L28" s="519"/>
      <c r="M28" s="601"/>
      <c r="N28" s="602"/>
      <c r="O28" s="602"/>
      <c r="P28" s="602"/>
      <c r="Q28" s="602"/>
      <c r="R28" s="603"/>
      <c r="S28" s="607" t="s">
        <v>20</v>
      </c>
      <c r="T28" s="608"/>
      <c r="U28" s="608"/>
      <c r="V28" s="457" t="str">
        <f>"(24)"</f>
        <v>(24)</v>
      </c>
      <c r="W28" s="420"/>
      <c r="X28" s="420"/>
      <c r="Y28" s="420"/>
      <c r="Z28" s="420"/>
      <c r="AA28" s="420"/>
      <c r="AB28" s="419"/>
      <c r="AC28" s="419"/>
      <c r="AD28" s="420" t="str">
        <f ca="1">language!A137</f>
        <v>Макс. расчётн. темп.</v>
      </c>
      <c r="AE28" s="601"/>
      <c r="AF28" s="602"/>
      <c r="AG28" s="602"/>
      <c r="AH28" s="602"/>
      <c r="AI28" s="602"/>
      <c r="AJ28" s="602"/>
      <c r="AK28" s="602"/>
      <c r="AL28" s="603"/>
      <c r="AM28" s="605" t="str">
        <f>S28</f>
        <v>°C</v>
      </c>
      <c r="AN28" s="606"/>
      <c r="AO28" s="408"/>
      <c r="AP28" s="419"/>
      <c r="AQ28" s="448"/>
      <c r="AR28" s="394"/>
      <c r="AS28" s="394"/>
      <c r="AW28" s="446"/>
      <c r="AX28" s="446"/>
    </row>
    <row r="29" spans="1:50" ht="9" customHeight="1">
      <c r="A29" s="438"/>
      <c r="C29" s="417"/>
      <c r="D29" s="422"/>
      <c r="E29" s="419"/>
      <c r="F29" s="419"/>
      <c r="G29" s="419"/>
      <c r="H29" s="419"/>
      <c r="I29" s="407"/>
      <c r="J29" s="407"/>
      <c r="K29" s="407"/>
      <c r="L29" s="419"/>
      <c r="M29" s="419"/>
      <c r="N29" s="419"/>
      <c r="O29" s="419"/>
      <c r="P29" s="419"/>
      <c r="Q29" s="419"/>
      <c r="R29" s="419"/>
      <c r="S29" s="419"/>
      <c r="T29" s="419"/>
      <c r="U29" s="418"/>
      <c r="V29" s="418"/>
      <c r="W29" s="418"/>
      <c r="X29" s="418"/>
      <c r="Y29" s="418"/>
      <c r="Z29" s="418"/>
      <c r="AA29" s="418"/>
      <c r="AB29" s="418"/>
      <c r="AC29" s="418"/>
      <c r="AD29" s="396"/>
      <c r="AE29" s="396"/>
      <c r="AF29" s="396"/>
      <c r="AG29" s="396"/>
      <c r="AH29" s="396"/>
      <c r="AI29" s="396"/>
      <c r="AJ29" s="396"/>
      <c r="AK29" s="396"/>
      <c r="AL29" s="396"/>
      <c r="AM29" s="396"/>
      <c r="AN29" s="396"/>
      <c r="AO29" s="408"/>
      <c r="AP29" s="396"/>
      <c r="AQ29" s="449"/>
      <c r="AR29" s="394"/>
      <c r="AS29" s="394"/>
      <c r="AT29" s="394"/>
      <c r="AU29" s="394"/>
      <c r="AV29" s="394"/>
      <c r="AW29" s="447"/>
      <c r="AX29" s="447"/>
    </row>
    <row r="30" spans="1:50" s="444" customFormat="1" ht="15">
      <c r="A30" s="439"/>
      <c r="C30" s="406"/>
      <c r="D30" s="426"/>
      <c r="E30" s="508" t="str">
        <f ca="1">language!A138</f>
        <v>Расчетн. давление (изб.)</v>
      </c>
      <c r="F30" s="508"/>
      <c r="G30" s="508"/>
      <c r="H30" s="508"/>
      <c r="I30" s="508"/>
      <c r="J30" s="508"/>
      <c r="K30" s="508"/>
      <c r="L30" s="519"/>
      <c r="M30" s="601"/>
      <c r="N30" s="602"/>
      <c r="O30" s="602"/>
      <c r="P30" s="602"/>
      <c r="Q30" s="602"/>
      <c r="R30" s="603"/>
      <c r="S30" s="607" t="s">
        <v>1217</v>
      </c>
      <c r="T30" s="608"/>
      <c r="U30" s="608"/>
      <c r="V30" s="428"/>
      <c r="W30" s="419"/>
      <c r="X30" s="419"/>
      <c r="Y30" s="419"/>
      <c r="Z30" s="419"/>
      <c r="AA30" s="419"/>
      <c r="AB30" s="419"/>
      <c r="AC30" s="419"/>
      <c r="AD30" s="419"/>
      <c r="AE30" s="419"/>
      <c r="AF30" s="419"/>
      <c r="AG30" s="419"/>
      <c r="AH30" s="419"/>
      <c r="AI30" s="419"/>
      <c r="AJ30" s="419"/>
      <c r="AK30" s="419"/>
      <c r="AL30" s="419"/>
      <c r="AM30" s="419"/>
      <c r="AN30" s="418"/>
      <c r="AO30" s="408"/>
      <c r="AP30" s="419"/>
      <c r="AQ30" s="448"/>
      <c r="AR30" s="450">
        <f>p_min</f>
        <v>0</v>
      </c>
      <c r="AS30" s="450">
        <f ca="1">p_max</f>
        <v>450</v>
      </c>
      <c r="AT30" s="451"/>
      <c r="AU30" s="451"/>
      <c r="AW30" s="446"/>
      <c r="AX30" s="446"/>
    </row>
    <row r="31" spans="1:50" ht="9" customHeight="1">
      <c r="A31" s="438"/>
      <c r="C31" s="417"/>
      <c r="D31" s="422"/>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08"/>
      <c r="AP31" s="396"/>
      <c r="AQ31" s="449"/>
      <c r="AR31" s="394"/>
      <c r="AS31" s="394"/>
      <c r="AT31" s="394"/>
      <c r="AU31" s="394"/>
      <c r="AV31" s="394"/>
      <c r="AW31" s="447"/>
      <c r="AX31" s="447"/>
    </row>
    <row r="32" spans="1:50" ht="14.25" customHeight="1">
      <c r="A32" s="438"/>
      <c r="C32" s="417"/>
      <c r="D32" s="426"/>
      <c r="E32" s="534" t="str">
        <f ca="1">language!A141</f>
        <v>Отбор давления</v>
      </c>
      <c r="F32" s="534"/>
      <c r="G32" s="534"/>
      <c r="H32" s="534"/>
      <c r="I32" s="534"/>
      <c r="J32" s="534"/>
      <c r="K32" s="534"/>
      <c r="L32" s="534"/>
      <c r="M32" s="591" t="s">
        <v>589</v>
      </c>
      <c r="N32" s="592"/>
      <c r="O32" s="592"/>
      <c r="P32" s="592"/>
      <c r="Q32" s="592"/>
      <c r="R32" s="593"/>
      <c r="S32" s="418"/>
      <c r="T32" s="556" t="str">
        <f>IF(M32="Специальный","",IF(AND(M10="03'' / Ду 080",M32="Стандарт"),"1 х 1/8'' NPT","1 х 1/4'' NPT"))</f>
        <v>1 х 1/4'' NPT</v>
      </c>
      <c r="U32" s="556"/>
      <c r="V32" s="556"/>
      <c r="W32" s="556"/>
      <c r="X32" s="556"/>
      <c r="Y32" s="556"/>
      <c r="Z32" s="422"/>
      <c r="AA32" s="396"/>
      <c r="AB32" s="563" t="str">
        <f>IF(M32="Специальный",language!A520,"")</f>
        <v/>
      </c>
      <c r="AC32" s="563"/>
      <c r="AD32" s="563"/>
      <c r="AE32" s="625"/>
      <c r="AF32" s="625"/>
      <c r="AG32" s="625"/>
      <c r="AH32" s="625"/>
      <c r="AI32" s="625"/>
      <c r="AJ32" s="625"/>
      <c r="AK32" s="625"/>
      <c r="AL32" s="625"/>
      <c r="AM32" s="422"/>
      <c r="AN32" s="422"/>
      <c r="AO32" s="408"/>
      <c r="AP32" s="396"/>
      <c r="AQ32" s="438"/>
      <c r="AR32" s="394"/>
      <c r="AS32" s="394"/>
      <c r="AT32" s="394"/>
      <c r="AU32" s="394"/>
      <c r="AV32" s="394"/>
      <c r="AW32" s="447"/>
      <c r="AX32" s="447"/>
    </row>
    <row r="33" spans="1:50" ht="9.75" customHeight="1">
      <c r="A33" s="438"/>
      <c r="C33" s="417"/>
      <c r="D33" s="422"/>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08"/>
      <c r="AP33" s="396"/>
      <c r="AQ33" s="438"/>
      <c r="AR33" s="394"/>
      <c r="AS33" s="394"/>
      <c r="AT33" s="394"/>
      <c r="AU33" s="394"/>
      <c r="AV33" s="394"/>
      <c r="AW33" s="447"/>
      <c r="AX33" s="447"/>
    </row>
    <row r="34" spans="1:50" ht="15" customHeight="1">
      <c r="A34" s="438"/>
      <c r="C34" s="417"/>
      <c r="D34" s="422"/>
      <c r="E34" s="418"/>
      <c r="F34" s="418"/>
      <c r="G34" s="418"/>
      <c r="H34" s="418"/>
      <c r="I34" s="418"/>
      <c r="J34" s="418"/>
      <c r="K34" s="418"/>
      <c r="L34" s="418"/>
      <c r="M34" s="557" t="str">
        <f ca="1">language!A521</f>
        <v>Примечание</v>
      </c>
      <c r="N34" s="557"/>
      <c r="O34" s="557"/>
      <c r="P34" s="557"/>
      <c r="Q34" s="557"/>
      <c r="R34" s="557"/>
      <c r="S34" s="418"/>
      <c r="T34" s="619"/>
      <c r="U34" s="619"/>
      <c r="V34" s="619"/>
      <c r="W34" s="619"/>
      <c r="X34" s="619"/>
      <c r="Y34" s="619"/>
      <c r="Z34" s="619"/>
      <c r="AA34" s="619"/>
      <c r="AB34" s="619"/>
      <c r="AC34" s="619"/>
      <c r="AD34" s="619"/>
      <c r="AE34" s="619"/>
      <c r="AF34" s="619"/>
      <c r="AG34" s="619"/>
      <c r="AH34" s="619"/>
      <c r="AI34" s="619"/>
      <c r="AJ34" s="619"/>
      <c r="AK34" s="619"/>
      <c r="AL34" s="619"/>
      <c r="AM34" s="418"/>
      <c r="AN34" s="418"/>
      <c r="AO34" s="408"/>
      <c r="AP34" s="396"/>
      <c r="AQ34" s="438"/>
      <c r="AR34" s="394"/>
      <c r="AS34" s="394"/>
      <c r="AT34" s="394"/>
      <c r="AU34" s="394"/>
      <c r="AV34" s="394"/>
      <c r="AW34" s="447"/>
      <c r="AX34" s="447"/>
    </row>
    <row r="35" spans="1:50" ht="9.75" customHeight="1">
      <c r="A35" s="438"/>
      <c r="C35" s="417"/>
      <c r="D35" s="422"/>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08"/>
      <c r="AP35" s="396"/>
      <c r="AQ35" s="438"/>
      <c r="AR35" s="394"/>
      <c r="AS35" s="394"/>
      <c r="AT35" s="394"/>
      <c r="AU35" s="394"/>
      <c r="AV35" s="394"/>
      <c r="AW35" s="447"/>
      <c r="AX35" s="447"/>
    </row>
    <row r="36" spans="1:50" ht="15">
      <c r="A36" s="438"/>
      <c r="C36" s="417"/>
      <c r="D36" s="426"/>
      <c r="E36" s="508" t="str">
        <f ca="1">language!A142</f>
        <v>Внешняя покраска</v>
      </c>
      <c r="F36" s="508"/>
      <c r="G36" s="508"/>
      <c r="H36" s="508"/>
      <c r="I36" s="508"/>
      <c r="J36" s="508"/>
      <c r="K36" s="508"/>
      <c r="L36" s="508"/>
      <c r="M36" s="591" t="s">
        <v>589</v>
      </c>
      <c r="N36" s="592"/>
      <c r="O36" s="592"/>
      <c r="P36" s="592"/>
      <c r="Q36" s="592"/>
      <c r="R36" s="593"/>
      <c r="S36" s="418"/>
      <c r="T36" s="627"/>
      <c r="U36" s="627"/>
      <c r="V36" s="627"/>
      <c r="W36" s="627"/>
      <c r="X36" s="627"/>
      <c r="Y36" s="627"/>
      <c r="Z36" s="627"/>
      <c r="AA36" s="627"/>
      <c r="AB36" s="627"/>
      <c r="AC36" s="627"/>
      <c r="AD36" s="627"/>
      <c r="AE36" s="627"/>
      <c r="AF36" s="627"/>
      <c r="AG36" s="627"/>
      <c r="AH36" s="627"/>
      <c r="AI36" s="627"/>
      <c r="AJ36" s="627"/>
      <c r="AK36" s="627"/>
      <c r="AL36" s="627"/>
      <c r="AM36" s="627"/>
      <c r="AN36" s="627"/>
      <c r="AO36" s="408"/>
      <c r="AP36" s="396"/>
      <c r="AQ36" s="438"/>
      <c r="AR36" s="394"/>
      <c r="AS36" s="394"/>
      <c r="AT36" s="394"/>
      <c r="AU36" s="394"/>
      <c r="AV36" s="394"/>
      <c r="AW36" s="447"/>
      <c r="AX36" s="447"/>
    </row>
    <row r="37" spans="1:50" ht="14.25" customHeight="1">
      <c r="A37" s="438"/>
      <c r="C37" s="417"/>
      <c r="D37" s="422"/>
      <c r="E37" s="418"/>
      <c r="F37" s="418"/>
      <c r="G37" s="418"/>
      <c r="H37" s="418"/>
      <c r="I37" s="418"/>
      <c r="J37" s="418"/>
      <c r="K37" s="418"/>
      <c r="L37" s="418"/>
      <c r="M37" s="418"/>
      <c r="N37" s="418"/>
      <c r="O37" s="418"/>
      <c r="P37" s="418"/>
      <c r="Q37" s="418"/>
      <c r="R37" s="418"/>
      <c r="S37" s="418"/>
      <c r="T37" s="508" t="str">
        <f ca="1">IF(AND($M$36=Data!BP3,OR($M$12=language!A221,$M$12=language!A222)),language!A244,"")</f>
        <v/>
      </c>
      <c r="U37" s="508"/>
      <c r="V37" s="508"/>
      <c r="W37" s="508"/>
      <c r="X37" s="508"/>
      <c r="Y37" s="508"/>
      <c r="Z37" s="508"/>
      <c r="AA37" s="508"/>
      <c r="AB37" s="508"/>
      <c r="AC37" s="508"/>
      <c r="AD37" s="508"/>
      <c r="AE37" s="508"/>
      <c r="AF37" s="508"/>
      <c r="AG37" s="508"/>
      <c r="AH37" s="508"/>
      <c r="AI37" s="508"/>
      <c r="AJ37" s="508"/>
      <c r="AK37" s="508"/>
      <c r="AL37" s="508"/>
      <c r="AM37" s="508"/>
      <c r="AN37" s="508"/>
      <c r="AO37" s="408"/>
      <c r="AP37" s="396"/>
      <c r="AQ37" s="438"/>
      <c r="AR37" s="394"/>
      <c r="AS37" s="394"/>
      <c r="AT37" s="394"/>
      <c r="AU37" s="394"/>
      <c r="AV37" s="394"/>
    </row>
    <row r="38" spans="1:50" ht="8.25" customHeight="1">
      <c r="A38" s="438"/>
      <c r="C38" s="417"/>
      <c r="D38" s="422"/>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08"/>
      <c r="AP38" s="396"/>
      <c r="AQ38" s="438"/>
      <c r="AR38" s="394"/>
      <c r="AS38" s="394"/>
      <c r="AT38" s="394"/>
      <c r="AU38" s="394"/>
      <c r="AV38" s="394"/>
    </row>
    <row r="39" spans="1:50" ht="15.75">
      <c r="A39" s="438"/>
      <c r="C39" s="417"/>
      <c r="D39" s="422"/>
      <c r="E39" s="530" t="str">
        <f ca="1">language!A145</f>
        <v>Тест на герметичность</v>
      </c>
      <c r="F39" s="530"/>
      <c r="G39" s="530"/>
      <c r="H39" s="530"/>
      <c r="I39" s="530"/>
      <c r="J39" s="530"/>
      <c r="K39" s="530"/>
      <c r="L39" s="530"/>
      <c r="M39" s="591" t="s">
        <v>175</v>
      </c>
      <c r="N39" s="592"/>
      <c r="O39" s="592"/>
      <c r="P39" s="592"/>
      <c r="Q39" s="592"/>
      <c r="R39" s="592"/>
      <c r="S39" s="593"/>
      <c r="T39" s="418"/>
      <c r="U39" s="455"/>
      <c r="V39" s="455"/>
      <c r="W39" s="396"/>
      <c r="X39" s="431"/>
      <c r="Y39" s="431"/>
      <c r="Z39" s="431"/>
      <c r="AA39" s="431"/>
      <c r="AB39" s="420" t="str">
        <f ca="1">language!A146</f>
        <v>Тест на герм. давлением</v>
      </c>
      <c r="AC39" s="628"/>
      <c r="AD39" s="629"/>
      <c r="AE39" s="629"/>
      <c r="AF39" s="629"/>
      <c r="AG39" s="629"/>
      <c r="AH39" s="629"/>
      <c r="AI39" s="629"/>
      <c r="AJ39" s="629"/>
      <c r="AK39" s="630"/>
      <c r="AL39" s="631" t="s">
        <v>1217</v>
      </c>
      <c r="AM39" s="631"/>
      <c r="AN39" s="631"/>
      <c r="AO39" s="408"/>
      <c r="AP39" s="396"/>
      <c r="AQ39" s="438"/>
      <c r="AR39" s="394"/>
      <c r="AS39" s="394"/>
      <c r="AT39" s="394"/>
      <c r="AU39" s="394"/>
      <c r="AV39" s="394"/>
    </row>
    <row r="40" spans="1:50" ht="9" customHeight="1">
      <c r="A40" s="438"/>
      <c r="C40" s="417"/>
      <c r="D40" s="422"/>
      <c r="E40" s="422"/>
      <c r="F40" s="422"/>
      <c r="G40" s="422"/>
      <c r="H40" s="422"/>
      <c r="I40" s="422"/>
      <c r="J40" s="422"/>
      <c r="K40" s="422"/>
      <c r="L40" s="458"/>
      <c r="M40" s="458"/>
      <c r="N40" s="458"/>
      <c r="O40" s="458"/>
      <c r="P40" s="458"/>
      <c r="Q40" s="458"/>
      <c r="R40" s="458"/>
      <c r="S40" s="458"/>
      <c r="T40" s="418"/>
      <c r="U40" s="455"/>
      <c r="V40" s="455"/>
      <c r="W40" s="455"/>
      <c r="X40" s="455"/>
      <c r="Y40" s="455"/>
      <c r="Z40" s="455"/>
      <c r="AA40" s="455"/>
      <c r="AB40" s="455"/>
      <c r="AC40" s="455"/>
      <c r="AD40" s="455"/>
      <c r="AE40" s="455"/>
      <c r="AF40" s="455"/>
      <c r="AG40" s="455"/>
      <c r="AH40" s="455"/>
      <c r="AI40" s="455"/>
      <c r="AJ40" s="455"/>
      <c r="AK40" s="455"/>
      <c r="AL40" s="455"/>
      <c r="AM40" s="455"/>
      <c r="AN40" s="455"/>
      <c r="AO40" s="408"/>
      <c r="AP40" s="396"/>
      <c r="AQ40" s="438"/>
      <c r="AR40" s="394"/>
      <c r="AS40" s="394"/>
      <c r="AT40" s="394"/>
      <c r="AU40" s="394"/>
      <c r="AV40" s="394"/>
    </row>
    <row r="41" spans="1:50" ht="15.75">
      <c r="A41" s="438"/>
      <c r="C41" s="417"/>
      <c r="D41" s="422"/>
      <c r="E41" s="473" t="str">
        <f ca="1">language!A149</f>
        <v>Гидростатический тест</v>
      </c>
      <c r="F41" s="473"/>
      <c r="G41" s="473"/>
      <c r="H41" s="473"/>
      <c r="I41" s="473"/>
      <c r="J41" s="473"/>
      <c r="K41" s="473"/>
      <c r="L41" s="473"/>
      <c r="M41" s="591" t="s">
        <v>589</v>
      </c>
      <c r="N41" s="592"/>
      <c r="O41" s="592"/>
      <c r="P41" s="592"/>
      <c r="Q41" s="592"/>
      <c r="R41" s="592"/>
      <c r="S41" s="593"/>
      <c r="T41" s="418"/>
      <c r="U41" s="418"/>
      <c r="V41" s="418"/>
      <c r="W41" s="418"/>
      <c r="X41" s="418"/>
      <c r="Y41" s="418"/>
      <c r="Z41" s="455"/>
      <c r="AA41" s="455"/>
      <c r="AB41" s="455"/>
      <c r="AC41" s="418"/>
      <c r="AD41" s="418"/>
      <c r="AE41" s="418"/>
      <c r="AF41" s="418"/>
      <c r="AG41" s="418"/>
      <c r="AH41" s="418"/>
      <c r="AI41" s="455"/>
      <c r="AJ41" s="455"/>
      <c r="AK41" s="455"/>
      <c r="AL41" s="455"/>
      <c r="AM41" s="455"/>
      <c r="AN41" s="455"/>
      <c r="AO41" s="408"/>
      <c r="AP41" s="396"/>
      <c r="AQ41" s="438"/>
      <c r="AR41" s="394"/>
      <c r="AS41" s="394"/>
      <c r="AT41" s="394"/>
      <c r="AU41" s="394"/>
      <c r="AV41" s="394"/>
    </row>
    <row r="42" spans="1:50" ht="9" customHeight="1">
      <c r="A42" s="438"/>
      <c r="C42" s="417"/>
      <c r="D42" s="422"/>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08"/>
      <c r="AP42" s="396"/>
      <c r="AQ42" s="438"/>
      <c r="AR42" s="394"/>
      <c r="AS42" s="394"/>
      <c r="AT42" s="394"/>
      <c r="AU42" s="394"/>
      <c r="AV42" s="394"/>
    </row>
    <row r="43" spans="1:50" ht="15">
      <c r="A43" s="438"/>
      <c r="C43" s="417"/>
      <c r="D43" s="422"/>
      <c r="E43" s="508" t="str">
        <f ca="1">language!A150</f>
        <v>Давление испытания</v>
      </c>
      <c r="F43" s="508"/>
      <c r="G43" s="508"/>
      <c r="H43" s="508"/>
      <c r="I43" s="508"/>
      <c r="J43" s="508"/>
      <c r="K43" s="508"/>
      <c r="L43" s="508"/>
      <c r="M43" s="591" t="str">
        <f ca="1">IF(OR(M41=language!A237),language!A152,"")</f>
        <v>1.5 x расчётного давления</v>
      </c>
      <c r="N43" s="592"/>
      <c r="O43" s="592"/>
      <c r="P43" s="592"/>
      <c r="Q43" s="592"/>
      <c r="R43" s="592"/>
      <c r="S43" s="593"/>
      <c r="T43" s="608" t="s">
        <v>1217</v>
      </c>
      <c r="U43" s="608"/>
      <c r="V43" s="608"/>
      <c r="W43" s="528" t="str">
        <f ca="1">language!A147</f>
        <v>Время испытания</v>
      </c>
      <c r="X43" s="528"/>
      <c r="Y43" s="528"/>
      <c r="Z43" s="528"/>
      <c r="AA43" s="528"/>
      <c r="AB43" s="528"/>
      <c r="AC43" s="528"/>
      <c r="AD43" s="591"/>
      <c r="AE43" s="592"/>
      <c r="AF43" s="592"/>
      <c r="AG43" s="592"/>
      <c r="AH43" s="592"/>
      <c r="AI43" s="592"/>
      <c r="AJ43" s="592"/>
      <c r="AK43" s="592"/>
      <c r="AL43" s="593"/>
      <c r="AM43" s="624" t="s">
        <v>631</v>
      </c>
      <c r="AN43" s="624"/>
      <c r="AO43" s="408"/>
      <c r="AP43" s="396"/>
      <c r="AQ43" s="438"/>
      <c r="AR43" s="394"/>
      <c r="AS43" s="394"/>
      <c r="AT43" s="394"/>
      <c r="AU43" s="394"/>
      <c r="AV43" s="394"/>
    </row>
    <row r="44" spans="1:50" ht="15">
      <c r="A44" s="438"/>
      <c r="C44" s="417"/>
      <c r="D44" s="422"/>
      <c r="E44" s="422"/>
      <c r="F44" s="422"/>
      <c r="G44" s="422"/>
      <c r="H44" s="422"/>
      <c r="I44" s="422"/>
      <c r="J44" s="455"/>
      <c r="K44" s="455"/>
      <c r="L44" s="455"/>
      <c r="M44" s="455"/>
      <c r="N44" s="455"/>
      <c r="O44" s="455"/>
      <c r="P44" s="455"/>
      <c r="Q44" s="455"/>
      <c r="R44" s="455"/>
      <c r="S44" s="455"/>
      <c r="T44" s="455"/>
      <c r="U44" s="455"/>
      <c r="V44" s="396"/>
      <c r="W44" s="396"/>
      <c r="X44" s="396"/>
      <c r="Y44" s="396"/>
      <c r="Z44" s="396"/>
      <c r="AA44" s="396"/>
      <c r="AB44" s="396"/>
      <c r="AC44" s="396"/>
      <c r="AD44" s="396"/>
      <c r="AE44" s="396"/>
      <c r="AF44" s="396"/>
      <c r="AG44" s="396"/>
      <c r="AH44" s="396"/>
      <c r="AI44" s="396"/>
      <c r="AJ44" s="396"/>
      <c r="AK44" s="396"/>
      <c r="AL44" s="396"/>
      <c r="AM44" s="396"/>
      <c r="AN44" s="418"/>
      <c r="AO44" s="408"/>
      <c r="AP44" s="396"/>
      <c r="AQ44" s="438"/>
      <c r="AR44" s="394"/>
      <c r="AS44" s="394"/>
      <c r="AT44" s="394"/>
      <c r="AU44" s="394"/>
      <c r="AV44" s="394"/>
    </row>
    <row r="45" spans="1:50" ht="18.75" customHeight="1">
      <c r="A45" s="438"/>
      <c r="C45" s="417"/>
      <c r="D45" s="422"/>
      <c r="E45" s="422"/>
      <c r="F45" s="422"/>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18"/>
      <c r="AO45" s="408"/>
      <c r="AP45" s="396"/>
      <c r="AQ45" s="438"/>
      <c r="AR45" s="394"/>
      <c r="AS45" s="394"/>
      <c r="AT45" s="394"/>
      <c r="AU45" s="394"/>
      <c r="AV45" s="394"/>
    </row>
    <row r="46" spans="1:50" ht="15.75">
      <c r="A46" s="438"/>
      <c r="C46" s="417"/>
      <c r="D46" s="426"/>
      <c r="E46" s="530" t="str">
        <f ca="1">language!A139</f>
        <v>Замена датчиков под рабочим давлением</v>
      </c>
      <c r="F46" s="530"/>
      <c r="G46" s="530"/>
      <c r="H46" s="530"/>
      <c r="I46" s="530"/>
      <c r="J46" s="530"/>
      <c r="K46" s="530"/>
      <c r="L46" s="530"/>
      <c r="M46" s="530"/>
      <c r="N46" s="530"/>
      <c r="O46" s="530"/>
      <c r="P46" s="530"/>
      <c r="Q46" s="530"/>
      <c r="R46" s="530"/>
      <c r="S46" s="636"/>
      <c r="T46" s="513"/>
      <c r="U46" s="514"/>
      <c r="V46" s="515"/>
      <c r="W46" s="409"/>
      <c r="X46" s="409"/>
      <c r="Y46" s="409"/>
      <c r="Z46" s="409"/>
      <c r="AA46" s="473"/>
      <c r="AB46" s="418"/>
      <c r="AC46" s="396"/>
      <c r="AD46" s="396"/>
      <c r="AE46" s="396"/>
      <c r="AF46" s="396"/>
      <c r="AG46" s="396"/>
      <c r="AH46" s="396"/>
      <c r="AI46" s="418"/>
      <c r="AJ46" s="418"/>
      <c r="AK46" s="418"/>
      <c r="AL46" s="456"/>
      <c r="AM46" s="456"/>
      <c r="AN46" s="418"/>
      <c r="AO46" s="408"/>
      <c r="AP46" s="396"/>
      <c r="AQ46" s="438"/>
      <c r="AR46" s="394"/>
      <c r="AS46" s="394"/>
      <c r="AT46" s="394"/>
      <c r="AU46" s="394"/>
      <c r="AV46" s="394"/>
    </row>
    <row r="47" spans="1:50" ht="15">
      <c r="A47" s="438"/>
      <c r="C47" s="424"/>
      <c r="D47" s="425"/>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4"/>
      <c r="AP47" s="396"/>
      <c r="AQ47" s="438"/>
      <c r="AR47" s="394"/>
      <c r="AS47" s="394"/>
      <c r="AT47" s="394"/>
      <c r="AU47" s="394"/>
      <c r="AV47" s="394"/>
    </row>
    <row r="48" spans="1:50" ht="12" customHeight="1">
      <c r="A48" s="439"/>
      <c r="C48" s="418"/>
      <c r="D48" s="422"/>
      <c r="E48" s="418"/>
      <c r="F48" s="418"/>
      <c r="G48" s="418"/>
      <c r="H48" s="418"/>
      <c r="I48" s="418"/>
      <c r="J48" s="418"/>
      <c r="K48" s="418"/>
      <c r="L48" s="418"/>
      <c r="M48" s="418"/>
      <c r="N48" s="418"/>
      <c r="O48" s="418"/>
      <c r="P48" s="418"/>
      <c r="Q48" s="418"/>
      <c r="R48" s="418"/>
      <c r="S48" s="456"/>
      <c r="T48" s="456"/>
      <c r="U48" s="418"/>
      <c r="V48" s="418"/>
      <c r="W48" s="418"/>
      <c r="X48" s="418"/>
      <c r="Y48" s="418"/>
      <c r="Z48" s="418"/>
      <c r="AA48" s="418"/>
      <c r="AB48" s="418"/>
      <c r="AC48" s="418"/>
      <c r="AD48" s="418"/>
      <c r="AE48" s="418"/>
      <c r="AF48" s="418"/>
      <c r="AG48" s="418"/>
      <c r="AH48" s="418"/>
      <c r="AI48" s="418"/>
      <c r="AJ48" s="418"/>
      <c r="AK48" s="418"/>
      <c r="AL48" s="418"/>
      <c r="AM48" s="418"/>
      <c r="AN48" s="418"/>
      <c r="AO48" s="418"/>
      <c r="AP48" s="396"/>
      <c r="AQ48" s="439"/>
      <c r="AR48" s="394"/>
      <c r="AS48" s="394"/>
      <c r="AT48" s="394"/>
      <c r="AU48" s="394"/>
      <c r="AV48" s="394"/>
    </row>
    <row r="49" spans="1:48" ht="15">
      <c r="A49" s="438"/>
      <c r="B49" s="444"/>
      <c r="C49" s="402"/>
      <c r="D49" s="416"/>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4"/>
      <c r="AO49" s="405"/>
      <c r="AP49" s="419"/>
      <c r="AQ49" s="438"/>
      <c r="AR49" s="394"/>
      <c r="AS49" s="394"/>
      <c r="AT49" s="394"/>
      <c r="AU49" s="394"/>
      <c r="AV49" s="394"/>
    </row>
    <row r="50" spans="1:48" s="444" customFormat="1" ht="15.75">
      <c r="A50" s="438"/>
      <c r="B50" s="394"/>
      <c r="C50" s="417"/>
      <c r="D50" s="422"/>
      <c r="E50" s="635" t="str">
        <f ca="1">language!A154</f>
        <v>Блок обработки сигналов (БОС)</v>
      </c>
      <c r="F50" s="635"/>
      <c r="G50" s="635"/>
      <c r="H50" s="635"/>
      <c r="I50" s="635"/>
      <c r="J50" s="635"/>
      <c r="K50" s="635"/>
      <c r="L50" s="635"/>
      <c r="M50" s="635"/>
      <c r="N50" s="635"/>
      <c r="O50" s="418"/>
      <c r="P50" s="418"/>
      <c r="Q50" s="418"/>
      <c r="R50" s="418"/>
      <c r="S50" s="418"/>
      <c r="T50" s="418"/>
      <c r="U50" s="418"/>
      <c r="V50" s="418"/>
      <c r="W50" s="418"/>
      <c r="X50" s="418"/>
      <c r="Y50" s="418"/>
      <c r="Z50" s="418"/>
      <c r="AA50" s="418"/>
      <c r="AB50" s="418"/>
      <c r="AC50" s="419"/>
      <c r="AD50" s="419"/>
      <c r="AE50" s="419"/>
      <c r="AF50" s="419"/>
      <c r="AG50" s="419"/>
      <c r="AH50" s="419"/>
      <c r="AI50" s="419"/>
      <c r="AJ50" s="419"/>
      <c r="AK50" s="419"/>
      <c r="AL50" s="418"/>
      <c r="AM50" s="418"/>
      <c r="AN50" s="418"/>
      <c r="AO50" s="408"/>
      <c r="AP50" s="396"/>
      <c r="AQ50" s="438"/>
    </row>
    <row r="51" spans="1:48" ht="9.75" customHeight="1">
      <c r="A51" s="439"/>
      <c r="B51" s="444"/>
      <c r="C51" s="406"/>
      <c r="D51" s="422"/>
      <c r="E51" s="418"/>
      <c r="F51" s="418"/>
      <c r="G51" s="418"/>
      <c r="H51" s="418"/>
      <c r="I51" s="418"/>
      <c r="J51" s="418"/>
      <c r="K51" s="418"/>
      <c r="L51" s="418"/>
      <c r="M51" s="418"/>
      <c r="N51" s="418"/>
      <c r="O51" s="418"/>
      <c r="P51" s="419"/>
      <c r="Q51" s="418"/>
      <c r="R51" s="418"/>
      <c r="S51" s="418"/>
      <c r="T51" s="418"/>
      <c r="U51" s="418"/>
      <c r="V51" s="418"/>
      <c r="W51" s="595" t="str">
        <f ca="1">language!A528</f>
        <v xml:space="preserve">  </v>
      </c>
      <c r="X51" s="595"/>
      <c r="Y51" s="595"/>
      <c r="Z51" s="595"/>
      <c r="AA51" s="595"/>
      <c r="AB51" s="595"/>
      <c r="AC51" s="595"/>
      <c r="AD51" s="595"/>
      <c r="AE51" s="595"/>
      <c r="AF51" s="595"/>
      <c r="AG51" s="595"/>
      <c r="AH51" s="595"/>
      <c r="AI51" s="595"/>
      <c r="AJ51" s="595"/>
      <c r="AK51" s="595"/>
      <c r="AL51" s="595"/>
      <c r="AM51" s="595"/>
      <c r="AN51" s="595"/>
      <c r="AO51" s="408"/>
      <c r="AP51" s="419"/>
      <c r="AQ51" s="439"/>
      <c r="AR51" s="394"/>
      <c r="AS51" s="394"/>
      <c r="AT51" s="394"/>
      <c r="AU51" s="394"/>
      <c r="AV51" s="394"/>
    </row>
    <row r="52" spans="1:48" ht="14.25" customHeight="1">
      <c r="A52" s="438"/>
      <c r="C52" s="417"/>
      <c r="D52" s="426"/>
      <c r="E52" s="508" t="str">
        <f ca="1">language!A155</f>
        <v>Ex защита</v>
      </c>
      <c r="F52" s="508"/>
      <c r="G52" s="508"/>
      <c r="H52" s="508"/>
      <c r="I52" s="508"/>
      <c r="J52" s="508"/>
      <c r="K52" s="508"/>
      <c r="L52" s="519"/>
      <c r="M52" s="642" t="s">
        <v>1320</v>
      </c>
      <c r="N52" s="643"/>
      <c r="O52" s="643"/>
      <c r="P52" s="643"/>
      <c r="Q52" s="643"/>
      <c r="R52" s="643"/>
      <c r="S52" s="643"/>
      <c r="T52" s="643"/>
      <c r="U52" s="644"/>
      <c r="V52" s="437"/>
      <c r="W52" s="595"/>
      <c r="X52" s="595"/>
      <c r="Y52" s="595"/>
      <c r="Z52" s="595"/>
      <c r="AA52" s="595"/>
      <c r="AB52" s="595"/>
      <c r="AC52" s="595"/>
      <c r="AD52" s="595"/>
      <c r="AE52" s="595"/>
      <c r="AF52" s="595"/>
      <c r="AG52" s="595"/>
      <c r="AH52" s="595"/>
      <c r="AI52" s="595"/>
      <c r="AJ52" s="595"/>
      <c r="AK52" s="595"/>
      <c r="AL52" s="595"/>
      <c r="AM52" s="595"/>
      <c r="AN52" s="595"/>
      <c r="AO52" s="408"/>
      <c r="AP52" s="396"/>
      <c r="AQ52" s="438"/>
      <c r="AR52" s="394"/>
      <c r="AS52" s="394"/>
      <c r="AT52" s="394"/>
      <c r="AU52" s="394"/>
      <c r="AV52" s="394"/>
    </row>
    <row r="53" spans="1:48" s="444" customFormat="1" ht="9" customHeight="1">
      <c r="A53" s="439"/>
      <c r="C53" s="406"/>
      <c r="D53" s="422"/>
      <c r="E53" s="418"/>
      <c r="F53" s="418"/>
      <c r="G53" s="418"/>
      <c r="H53" s="418"/>
      <c r="I53" s="418"/>
      <c r="J53" s="418"/>
      <c r="K53" s="418"/>
      <c r="L53" s="418"/>
      <c r="M53" s="418"/>
      <c r="N53" s="418"/>
      <c r="O53" s="418"/>
      <c r="P53" s="418"/>
      <c r="Q53" s="418"/>
      <c r="R53" s="418"/>
      <c r="S53" s="418"/>
      <c r="T53" s="418"/>
      <c r="U53" s="418"/>
      <c r="V53" s="418"/>
      <c r="W53" s="595"/>
      <c r="X53" s="595"/>
      <c r="Y53" s="595"/>
      <c r="Z53" s="595"/>
      <c r="AA53" s="595"/>
      <c r="AB53" s="595"/>
      <c r="AC53" s="595"/>
      <c r="AD53" s="595"/>
      <c r="AE53" s="595"/>
      <c r="AF53" s="595"/>
      <c r="AG53" s="595"/>
      <c r="AH53" s="595"/>
      <c r="AI53" s="595"/>
      <c r="AJ53" s="595"/>
      <c r="AK53" s="595"/>
      <c r="AL53" s="595"/>
      <c r="AM53" s="595"/>
      <c r="AN53" s="595"/>
      <c r="AO53" s="408"/>
      <c r="AP53" s="419"/>
      <c r="AQ53" s="439"/>
    </row>
    <row r="54" spans="1:48" ht="15">
      <c r="A54" s="438"/>
      <c r="C54" s="417"/>
      <c r="D54" s="426"/>
      <c r="E54" s="508" t="str">
        <f ca="1">language!A156</f>
        <v>Единицы</v>
      </c>
      <c r="F54" s="508"/>
      <c r="G54" s="508"/>
      <c r="H54" s="508"/>
      <c r="I54" s="508"/>
      <c r="J54" s="508"/>
      <c r="K54" s="508"/>
      <c r="L54" s="508"/>
      <c r="M54" s="646" t="s">
        <v>525</v>
      </c>
      <c r="N54" s="647"/>
      <c r="O54" s="647"/>
      <c r="P54" s="647"/>
      <c r="Q54" s="647"/>
      <c r="R54" s="648"/>
      <c r="S54" s="418"/>
      <c r="T54" s="396"/>
      <c r="U54" s="396"/>
      <c r="V54" s="457"/>
      <c r="W54" s="508" t="str">
        <f ca="1">language!A157</f>
        <v>Материал корпуса</v>
      </c>
      <c r="X54" s="508"/>
      <c r="Y54" s="508"/>
      <c r="Z54" s="508"/>
      <c r="AA54" s="508"/>
      <c r="AB54" s="508"/>
      <c r="AC54" s="508"/>
      <c r="AD54" s="574" t="str">
        <f>IF($M$24="","",$M$24)</f>
        <v/>
      </c>
      <c r="AE54" s="575"/>
      <c r="AF54" s="575"/>
      <c r="AG54" s="575"/>
      <c r="AH54" s="575"/>
      <c r="AI54" s="575"/>
      <c r="AJ54" s="575"/>
      <c r="AK54" s="575"/>
      <c r="AL54" s="576"/>
      <c r="AM54" s="418"/>
      <c r="AN54" s="418"/>
      <c r="AO54" s="408"/>
      <c r="AP54" s="396"/>
      <c r="AQ54" s="438"/>
      <c r="AR54" s="394"/>
      <c r="AS54" s="394"/>
      <c r="AT54" s="394"/>
      <c r="AU54" s="394"/>
      <c r="AV54" s="394"/>
    </row>
    <row r="55" spans="1:48" s="444" customFormat="1" ht="9" customHeight="1">
      <c r="A55" s="439"/>
      <c r="C55" s="406"/>
      <c r="D55" s="422"/>
      <c r="E55" s="418"/>
      <c r="F55" s="418"/>
      <c r="G55" s="418"/>
      <c r="H55" s="418"/>
      <c r="I55" s="418"/>
      <c r="J55" s="418"/>
      <c r="K55" s="418"/>
      <c r="L55" s="418"/>
      <c r="M55" s="418"/>
      <c r="N55" s="418"/>
      <c r="O55" s="418"/>
      <c r="P55" s="418"/>
      <c r="Q55" s="418"/>
      <c r="R55" s="418"/>
      <c r="S55" s="419"/>
      <c r="T55" s="419"/>
      <c r="U55" s="418"/>
      <c r="V55" s="418"/>
      <c r="W55" s="595" t="str">
        <f ca="1">language!A527</f>
        <v>Примечание: Диапазон окружающей температуры SPU ограничен сертификатом взрывозащиты ATEX до - 40С. При более низкой температуре необходимо обеспечить термоизоляцию/ обогрев.</v>
      </c>
      <c r="X55" s="595"/>
      <c r="Y55" s="595"/>
      <c r="Z55" s="595"/>
      <c r="AA55" s="595"/>
      <c r="AB55" s="595"/>
      <c r="AC55" s="595"/>
      <c r="AD55" s="595"/>
      <c r="AE55" s="595"/>
      <c r="AF55" s="595"/>
      <c r="AG55" s="595"/>
      <c r="AH55" s="595"/>
      <c r="AI55" s="595"/>
      <c r="AJ55" s="595"/>
      <c r="AK55" s="595"/>
      <c r="AL55" s="595"/>
      <c r="AM55" s="595"/>
      <c r="AN55" s="595"/>
      <c r="AO55" s="408"/>
      <c r="AP55" s="419"/>
      <c r="AQ55" s="439"/>
    </row>
    <row r="56" spans="1:48" ht="14.25" customHeight="1">
      <c r="A56" s="438"/>
      <c r="C56" s="417"/>
      <c r="D56" s="426"/>
      <c r="E56" s="599" t="str">
        <f ca="1">language!A158</f>
        <v>Передняя панель</v>
      </c>
      <c r="F56" s="599"/>
      <c r="G56" s="599"/>
      <c r="H56" s="599"/>
      <c r="I56" s="599"/>
      <c r="J56" s="599"/>
      <c r="K56" s="599"/>
      <c r="L56" s="599"/>
      <c r="M56" s="591" t="s">
        <v>189</v>
      </c>
      <c r="N56" s="592"/>
      <c r="O56" s="592"/>
      <c r="P56" s="592"/>
      <c r="Q56" s="592"/>
      <c r="R56" s="593"/>
      <c r="S56" s="456"/>
      <c r="T56" s="418"/>
      <c r="U56" s="418"/>
      <c r="V56" s="418"/>
      <c r="W56" s="595"/>
      <c r="X56" s="595"/>
      <c r="Y56" s="595"/>
      <c r="Z56" s="595"/>
      <c r="AA56" s="595"/>
      <c r="AB56" s="595"/>
      <c r="AC56" s="595"/>
      <c r="AD56" s="595"/>
      <c r="AE56" s="595"/>
      <c r="AF56" s="595"/>
      <c r="AG56" s="595"/>
      <c r="AH56" s="595"/>
      <c r="AI56" s="595"/>
      <c r="AJ56" s="595"/>
      <c r="AK56" s="595"/>
      <c r="AL56" s="595"/>
      <c r="AM56" s="595"/>
      <c r="AN56" s="595"/>
      <c r="AO56" s="408"/>
      <c r="AP56" s="396"/>
      <c r="AQ56" s="438"/>
      <c r="AR56" s="394"/>
      <c r="AS56" s="394"/>
      <c r="AT56" s="394"/>
      <c r="AU56" s="394"/>
      <c r="AV56" s="394"/>
    </row>
    <row r="57" spans="1:48" s="444" customFormat="1" ht="21" customHeight="1">
      <c r="A57" s="439"/>
      <c r="C57" s="411"/>
      <c r="D57" s="459"/>
      <c r="E57" s="412"/>
      <c r="F57" s="412"/>
      <c r="G57" s="412"/>
      <c r="H57" s="412"/>
      <c r="I57" s="412"/>
      <c r="J57" s="412"/>
      <c r="K57" s="412"/>
      <c r="L57" s="412"/>
      <c r="M57" s="412"/>
      <c r="N57" s="412"/>
      <c r="O57" s="412"/>
      <c r="P57" s="412"/>
      <c r="Q57" s="412"/>
      <c r="R57" s="412"/>
      <c r="S57" s="460"/>
      <c r="T57" s="460"/>
      <c r="U57" s="413"/>
      <c r="V57" s="413"/>
      <c r="W57" s="645"/>
      <c r="X57" s="645"/>
      <c r="Y57" s="645"/>
      <c r="Z57" s="645"/>
      <c r="AA57" s="645"/>
      <c r="AB57" s="645"/>
      <c r="AC57" s="645"/>
      <c r="AD57" s="645"/>
      <c r="AE57" s="645"/>
      <c r="AF57" s="645"/>
      <c r="AG57" s="645"/>
      <c r="AH57" s="645"/>
      <c r="AI57" s="645"/>
      <c r="AJ57" s="645"/>
      <c r="AK57" s="645"/>
      <c r="AL57" s="645"/>
      <c r="AM57" s="645"/>
      <c r="AN57" s="645"/>
      <c r="AO57" s="414"/>
      <c r="AP57" s="419"/>
      <c r="AQ57" s="439"/>
    </row>
    <row r="58" spans="1:48" ht="12" customHeight="1">
      <c r="A58" s="438"/>
      <c r="C58" s="418"/>
      <c r="D58" s="461"/>
      <c r="E58" s="418"/>
      <c r="F58" s="418"/>
      <c r="G58" s="418"/>
      <c r="H58" s="418"/>
      <c r="I58" s="418"/>
      <c r="J58" s="418"/>
      <c r="K58" s="418"/>
      <c r="L58" s="418"/>
      <c r="M58" s="418"/>
      <c r="N58" s="418"/>
      <c r="O58" s="418"/>
      <c r="P58" s="418"/>
      <c r="Q58" s="418"/>
      <c r="R58" s="418"/>
      <c r="S58" s="456"/>
      <c r="T58" s="456"/>
      <c r="U58" s="418"/>
      <c r="V58" s="418"/>
      <c r="W58" s="418"/>
      <c r="X58" s="418"/>
      <c r="Y58" s="418"/>
      <c r="Z58" s="418"/>
      <c r="AA58" s="418"/>
      <c r="AB58" s="418"/>
      <c r="AC58" s="418"/>
      <c r="AD58" s="418"/>
      <c r="AE58" s="418"/>
      <c r="AF58" s="418"/>
      <c r="AG58" s="418"/>
      <c r="AH58" s="418"/>
      <c r="AI58" s="418"/>
      <c r="AJ58" s="418"/>
      <c r="AK58" s="418"/>
      <c r="AL58" s="418"/>
      <c r="AM58" s="418"/>
      <c r="AN58" s="418"/>
      <c r="AO58" s="418"/>
      <c r="AP58" s="396"/>
      <c r="AQ58" s="438"/>
      <c r="AR58" s="394"/>
      <c r="AS58" s="394"/>
      <c r="AT58" s="394"/>
      <c r="AU58" s="394"/>
      <c r="AV58" s="394"/>
    </row>
    <row r="59" spans="1:48" s="444" customFormat="1" ht="15">
      <c r="A59" s="439"/>
      <c r="C59" s="402"/>
      <c r="D59" s="462"/>
      <c r="E59" s="403"/>
      <c r="F59" s="403"/>
      <c r="G59" s="403"/>
      <c r="H59" s="403"/>
      <c r="I59" s="403"/>
      <c r="J59" s="403"/>
      <c r="K59" s="403"/>
      <c r="L59" s="403"/>
      <c r="M59" s="403"/>
      <c r="N59" s="403"/>
      <c r="O59" s="403"/>
      <c r="P59" s="403"/>
      <c r="Q59" s="403"/>
      <c r="R59" s="403"/>
      <c r="S59" s="463"/>
      <c r="T59" s="463"/>
      <c r="U59" s="404"/>
      <c r="V59" s="404"/>
      <c r="W59" s="404"/>
      <c r="X59" s="404"/>
      <c r="Y59" s="404"/>
      <c r="Z59" s="404"/>
      <c r="AA59" s="404"/>
      <c r="AB59" s="404"/>
      <c r="AC59" s="404"/>
      <c r="AD59" s="404"/>
      <c r="AE59" s="404"/>
      <c r="AF59" s="404"/>
      <c r="AG59" s="404"/>
      <c r="AH59" s="404"/>
      <c r="AI59" s="404"/>
      <c r="AJ59" s="404"/>
      <c r="AK59" s="404"/>
      <c r="AL59" s="404"/>
      <c r="AM59" s="404"/>
      <c r="AN59" s="404"/>
      <c r="AO59" s="405"/>
      <c r="AP59" s="419"/>
      <c r="AQ59" s="439"/>
    </row>
    <row r="60" spans="1:48" s="444" customFormat="1" ht="15.75">
      <c r="A60" s="439"/>
      <c r="C60" s="406"/>
      <c r="D60" s="461"/>
      <c r="E60" s="638" t="str">
        <f ca="1">language!A161</f>
        <v>Калибровка</v>
      </c>
      <c r="F60" s="638"/>
      <c r="G60" s="638"/>
      <c r="H60" s="638"/>
      <c r="I60" s="638"/>
      <c r="J60" s="638"/>
      <c r="K60" s="638"/>
      <c r="L60" s="419"/>
      <c r="M60" s="419"/>
      <c r="N60" s="419"/>
      <c r="O60" s="419"/>
      <c r="P60" s="419"/>
      <c r="Q60" s="419"/>
      <c r="R60" s="419"/>
      <c r="S60" s="419"/>
      <c r="T60" s="419"/>
      <c r="U60" s="419"/>
      <c r="V60" s="419"/>
      <c r="W60" s="419"/>
      <c r="X60" s="419"/>
      <c r="Y60" s="419"/>
      <c r="Z60" s="419"/>
      <c r="AA60" s="418"/>
      <c r="AB60" s="418"/>
      <c r="AC60" s="418"/>
      <c r="AD60" s="418"/>
      <c r="AE60" s="418"/>
      <c r="AF60" s="418"/>
      <c r="AG60" s="418"/>
      <c r="AH60" s="418"/>
      <c r="AI60" s="418"/>
      <c r="AJ60" s="418"/>
      <c r="AK60" s="418"/>
      <c r="AL60" s="418"/>
      <c r="AM60" s="418"/>
      <c r="AN60" s="418"/>
      <c r="AO60" s="408"/>
      <c r="AP60" s="419"/>
      <c r="AQ60" s="439"/>
    </row>
    <row r="61" spans="1:48" s="444" customFormat="1" ht="15">
      <c r="A61" s="439"/>
      <c r="C61" s="406"/>
      <c r="D61" s="461"/>
      <c r="E61" s="419"/>
      <c r="F61" s="419"/>
      <c r="G61" s="419"/>
      <c r="H61" s="419"/>
      <c r="I61" s="419"/>
      <c r="J61" s="419"/>
      <c r="K61" s="419"/>
      <c r="L61" s="419"/>
      <c r="M61" s="419"/>
      <c r="N61" s="419"/>
      <c r="O61" s="419"/>
      <c r="P61" s="419"/>
      <c r="Q61" s="419"/>
      <c r="R61" s="419"/>
      <c r="S61" s="456"/>
      <c r="T61" s="456"/>
      <c r="U61" s="418"/>
      <c r="V61" s="418"/>
      <c r="W61" s="418"/>
      <c r="X61" s="418"/>
      <c r="Y61" s="418"/>
      <c r="Z61" s="418"/>
      <c r="AA61" s="418"/>
      <c r="AB61" s="418"/>
      <c r="AC61" s="418"/>
      <c r="AD61" s="418"/>
      <c r="AE61" s="418"/>
      <c r="AF61" s="418"/>
      <c r="AG61" s="418"/>
      <c r="AH61" s="418"/>
      <c r="AI61" s="418"/>
      <c r="AJ61" s="418"/>
      <c r="AK61" s="418"/>
      <c r="AL61" s="418"/>
      <c r="AM61" s="418"/>
      <c r="AN61" s="418"/>
      <c r="AO61" s="408"/>
      <c r="AP61" s="419"/>
      <c r="AQ61" s="439"/>
    </row>
    <row r="62" spans="1:48" s="444" customFormat="1" ht="15">
      <c r="A62" s="439"/>
      <c r="C62" s="406"/>
      <c r="D62" s="461"/>
      <c r="E62" s="599" t="str">
        <f ca="1">language!A169</f>
        <v>Сертификат</v>
      </c>
      <c r="F62" s="599"/>
      <c r="G62" s="599"/>
      <c r="H62" s="599"/>
      <c r="I62" s="599"/>
      <c r="J62" s="599"/>
      <c r="K62" s="599"/>
      <c r="L62" s="599"/>
      <c r="M62" s="513" t="s">
        <v>602</v>
      </c>
      <c r="N62" s="514"/>
      <c r="O62" s="514"/>
      <c r="P62" s="514"/>
      <c r="Q62" s="514"/>
      <c r="R62" s="515"/>
      <c r="S62" s="456"/>
      <c r="T62" s="456"/>
      <c r="U62" s="418"/>
      <c r="V62" s="418"/>
      <c r="W62" s="418"/>
      <c r="X62" s="418"/>
      <c r="Y62" s="418"/>
      <c r="Z62" s="418"/>
      <c r="AA62" s="418"/>
      <c r="AB62" s="418"/>
      <c r="AC62" s="418"/>
      <c r="AD62" s="418"/>
      <c r="AE62" s="418"/>
      <c r="AF62" s="418"/>
      <c r="AG62" s="418"/>
      <c r="AH62" s="418"/>
      <c r="AI62" s="418"/>
      <c r="AJ62" s="418"/>
      <c r="AK62" s="418"/>
      <c r="AL62" s="418"/>
      <c r="AM62" s="418"/>
      <c r="AN62" s="418"/>
      <c r="AO62" s="408"/>
      <c r="AP62" s="419"/>
      <c r="AQ62" s="439"/>
    </row>
    <row r="63" spans="1:48" s="444" customFormat="1" ht="9" customHeight="1">
      <c r="A63" s="439"/>
      <c r="C63" s="406"/>
      <c r="D63" s="461"/>
      <c r="E63" s="419"/>
      <c r="F63" s="419"/>
      <c r="G63" s="419"/>
      <c r="H63" s="419"/>
      <c r="I63" s="419"/>
      <c r="J63" s="419"/>
      <c r="K63" s="419"/>
      <c r="L63" s="419"/>
      <c r="M63" s="419"/>
      <c r="N63" s="419"/>
      <c r="O63" s="419"/>
      <c r="P63" s="419"/>
      <c r="Q63" s="419"/>
      <c r="R63" s="419"/>
      <c r="S63" s="456"/>
      <c r="T63" s="456"/>
      <c r="U63" s="418"/>
      <c r="V63" s="418"/>
      <c r="W63" s="418"/>
      <c r="X63" s="418"/>
      <c r="Y63" s="418"/>
      <c r="Z63" s="418"/>
      <c r="AA63" s="418"/>
      <c r="AB63" s="418"/>
      <c r="AC63" s="418"/>
      <c r="AD63" s="418"/>
      <c r="AE63" s="418"/>
      <c r="AF63" s="418"/>
      <c r="AG63" s="418"/>
      <c r="AH63" s="418"/>
      <c r="AI63" s="418"/>
      <c r="AJ63" s="418"/>
      <c r="AK63" s="418"/>
      <c r="AL63" s="418"/>
      <c r="AM63" s="418"/>
      <c r="AN63" s="418"/>
      <c r="AO63" s="408"/>
      <c r="AP63" s="419"/>
      <c r="AQ63" s="439"/>
    </row>
    <row r="64" spans="1:48" ht="14.25" customHeight="1">
      <c r="A64" s="438"/>
      <c r="C64" s="417"/>
      <c r="D64" s="461"/>
      <c r="E64" s="525" t="str">
        <f ca="1">language!A170</f>
        <v>Тип калибровки</v>
      </c>
      <c r="F64" s="525"/>
      <c r="G64" s="525"/>
      <c r="H64" s="525"/>
      <c r="I64" s="525"/>
      <c r="J64" s="525"/>
      <c r="K64" s="525"/>
      <c r="L64" s="525"/>
      <c r="M64" s="639" t="s">
        <v>1210</v>
      </c>
      <c r="N64" s="640"/>
      <c r="O64" s="640"/>
      <c r="P64" s="640"/>
      <c r="Q64" s="640"/>
      <c r="R64" s="640"/>
      <c r="S64" s="640"/>
      <c r="T64" s="640"/>
      <c r="U64" s="640"/>
      <c r="V64" s="640"/>
      <c r="W64" s="640"/>
      <c r="X64" s="640"/>
      <c r="Y64" s="640"/>
      <c r="Z64" s="640"/>
      <c r="AA64" s="640"/>
      <c r="AB64" s="640"/>
      <c r="AC64" s="640"/>
      <c r="AD64" s="641"/>
      <c r="AE64" s="500"/>
      <c r="AF64" s="500"/>
      <c r="AG64" s="500"/>
      <c r="AH64" s="500"/>
      <c r="AI64" s="500"/>
      <c r="AJ64" s="500"/>
      <c r="AK64" s="500"/>
      <c r="AL64" s="500"/>
      <c r="AM64" s="500"/>
      <c r="AN64" s="500"/>
      <c r="AO64" s="501"/>
      <c r="AP64" s="396"/>
      <c r="AQ64" s="438"/>
      <c r="AR64" s="394"/>
      <c r="AS64" s="394"/>
      <c r="AT64" s="394"/>
      <c r="AU64" s="394"/>
      <c r="AV64" s="394"/>
    </row>
    <row r="65" spans="1:48" s="444" customFormat="1" ht="9" customHeight="1">
      <c r="A65" s="439"/>
      <c r="B65" s="394"/>
      <c r="C65" s="417"/>
      <c r="D65" s="461"/>
      <c r="E65" s="419"/>
      <c r="F65" s="419"/>
      <c r="G65" s="419"/>
      <c r="H65" s="419"/>
      <c r="I65" s="419"/>
      <c r="J65" s="419"/>
      <c r="K65" s="419"/>
      <c r="L65" s="419"/>
      <c r="M65" s="419"/>
      <c r="N65" s="419"/>
      <c r="O65" s="419"/>
      <c r="P65" s="419"/>
      <c r="Q65" s="419"/>
      <c r="R65" s="419"/>
      <c r="S65" s="396"/>
      <c r="T65" s="396"/>
      <c r="U65" s="418"/>
      <c r="V65" s="418"/>
      <c r="W65" s="418"/>
      <c r="X65" s="418"/>
      <c r="Y65" s="418"/>
      <c r="Z65" s="418"/>
      <c r="AA65" s="418"/>
      <c r="AB65" s="418"/>
      <c r="AC65" s="418"/>
      <c r="AD65" s="418"/>
      <c r="AE65" s="418"/>
      <c r="AF65" s="418"/>
      <c r="AG65" s="418"/>
      <c r="AH65" s="418"/>
      <c r="AI65" s="418"/>
      <c r="AJ65" s="418"/>
      <c r="AK65" s="418"/>
      <c r="AL65" s="418"/>
      <c r="AM65" s="418"/>
      <c r="AN65" s="418"/>
      <c r="AO65" s="464"/>
      <c r="AP65" s="396"/>
      <c r="AQ65" s="439"/>
    </row>
    <row r="66" spans="1:48" ht="15" customHeight="1">
      <c r="A66" s="438"/>
      <c r="C66" s="417"/>
      <c r="D66" s="426"/>
      <c r="E66" s="599" t="str">
        <f ca="1">language!A163</f>
        <v>Тестирующая среда</v>
      </c>
      <c r="F66" s="599"/>
      <c r="G66" s="599"/>
      <c r="H66" s="599"/>
      <c r="I66" s="599"/>
      <c r="J66" s="599"/>
      <c r="K66" s="599"/>
      <c r="L66" s="599"/>
      <c r="M66" s="513"/>
      <c r="N66" s="514"/>
      <c r="O66" s="514"/>
      <c r="P66" s="514"/>
      <c r="Q66" s="637"/>
      <c r="R66" s="515"/>
      <c r="S66" s="418"/>
      <c r="T66" s="419"/>
      <c r="U66" s="418"/>
      <c r="V66" s="418"/>
      <c r="W66" s="418"/>
      <c r="X66" s="528"/>
      <c r="Y66" s="528"/>
      <c r="Z66" s="528"/>
      <c r="AA66" s="528"/>
      <c r="AB66" s="528"/>
      <c r="AC66" s="612"/>
      <c r="AD66" s="612"/>
      <c r="AE66" s="612"/>
      <c r="AF66" s="612"/>
      <c r="AG66" s="612"/>
      <c r="AH66" s="612"/>
      <c r="AI66" s="612"/>
      <c r="AJ66" s="612"/>
      <c r="AK66" s="612"/>
      <c r="AL66" s="418"/>
      <c r="AM66" s="418"/>
      <c r="AN66" s="418"/>
      <c r="AO66" s="464"/>
      <c r="AP66" s="396"/>
      <c r="AQ66" s="438"/>
      <c r="AR66" s="394"/>
      <c r="AS66" s="394"/>
      <c r="AT66" s="394"/>
      <c r="AU66" s="394"/>
      <c r="AV66" s="394"/>
    </row>
    <row r="67" spans="1:48" ht="9" customHeight="1">
      <c r="A67" s="438"/>
      <c r="C67" s="417"/>
      <c r="D67" s="461"/>
      <c r="E67" s="419"/>
      <c r="F67" s="419"/>
      <c r="G67" s="419"/>
      <c r="H67" s="465"/>
      <c r="I67" s="465"/>
      <c r="J67" s="490"/>
      <c r="K67" s="466"/>
      <c r="L67" s="466"/>
      <c r="M67" s="419"/>
      <c r="N67" s="419"/>
      <c r="O67" s="419"/>
      <c r="P67" s="419"/>
      <c r="Q67" s="419"/>
      <c r="R67" s="419"/>
      <c r="S67" s="419"/>
      <c r="T67" s="418"/>
      <c r="U67" s="418"/>
      <c r="V67" s="418"/>
      <c r="W67" s="418"/>
      <c r="X67" s="418"/>
      <c r="Y67" s="418"/>
      <c r="Z67" s="418"/>
      <c r="AA67" s="418"/>
      <c r="AB67" s="418"/>
      <c r="AC67" s="418"/>
      <c r="AD67" s="418"/>
      <c r="AE67" s="418"/>
      <c r="AF67" s="418"/>
      <c r="AG67" s="418"/>
      <c r="AH67" s="418"/>
      <c r="AI67" s="418"/>
      <c r="AJ67" s="418"/>
      <c r="AK67" s="418"/>
      <c r="AL67" s="418"/>
      <c r="AM67" s="418"/>
      <c r="AN67" s="418"/>
      <c r="AO67" s="464"/>
      <c r="AP67" s="396"/>
      <c r="AQ67" s="438"/>
      <c r="AR67" s="394"/>
      <c r="AS67" s="394"/>
      <c r="AT67" s="394"/>
      <c r="AU67" s="394"/>
      <c r="AV67" s="394"/>
    </row>
    <row r="68" spans="1:48" ht="14.25" customHeight="1">
      <c r="A68" s="438"/>
      <c r="C68" s="417"/>
      <c r="D68" s="426"/>
      <c r="E68" s="599" t="str">
        <f ca="1">language!A150</f>
        <v>Давление испытания</v>
      </c>
      <c r="F68" s="599"/>
      <c r="G68" s="599"/>
      <c r="H68" s="599"/>
      <c r="I68" s="599"/>
      <c r="J68" s="599"/>
      <c r="K68" s="599"/>
      <c r="L68" s="599"/>
      <c r="M68" s="601"/>
      <c r="N68" s="602"/>
      <c r="O68" s="602"/>
      <c r="P68" s="602"/>
      <c r="Q68" s="602"/>
      <c r="R68" s="603"/>
      <c r="S68" s="634" t="s">
        <v>1217</v>
      </c>
      <c r="T68" s="634"/>
      <c r="U68" s="634"/>
      <c r="V68" s="396"/>
      <c r="W68" s="396"/>
      <c r="X68" s="396"/>
      <c r="Y68" s="418"/>
      <c r="Z68" s="418"/>
      <c r="AA68" s="418"/>
      <c r="AB68" s="418"/>
      <c r="AC68" s="418"/>
      <c r="AD68" s="418"/>
      <c r="AE68" s="418"/>
      <c r="AF68" s="418"/>
      <c r="AG68" s="418"/>
      <c r="AH68" s="418"/>
      <c r="AI68" s="418"/>
      <c r="AJ68" s="418"/>
      <c r="AK68" s="418"/>
      <c r="AL68" s="418"/>
      <c r="AM68" s="418"/>
      <c r="AN68" s="418"/>
      <c r="AO68" s="464"/>
      <c r="AP68" s="396"/>
      <c r="AQ68" s="438"/>
      <c r="AR68" s="394"/>
      <c r="AS68" s="394"/>
      <c r="AT68" s="394"/>
      <c r="AU68" s="394"/>
      <c r="AV68" s="394"/>
    </row>
    <row r="69" spans="1:48" ht="9" customHeight="1">
      <c r="A69" s="438"/>
      <c r="C69" s="417"/>
      <c r="D69" s="461"/>
      <c r="E69" s="418"/>
      <c r="F69" s="418"/>
      <c r="G69" s="418"/>
      <c r="H69" s="418"/>
      <c r="I69" s="418"/>
      <c r="J69" s="418"/>
      <c r="K69" s="418"/>
      <c r="L69" s="466"/>
      <c r="M69" s="420"/>
      <c r="N69" s="420"/>
      <c r="O69" s="420"/>
      <c r="P69" s="418"/>
      <c r="Q69" s="418"/>
      <c r="R69" s="465"/>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64"/>
      <c r="AP69" s="396"/>
      <c r="AQ69" s="438"/>
      <c r="AR69" s="394"/>
      <c r="AS69" s="394"/>
      <c r="AT69" s="394"/>
      <c r="AU69" s="394"/>
      <c r="AV69" s="394"/>
    </row>
    <row r="70" spans="1:48" ht="15">
      <c r="A70" s="438"/>
      <c r="C70" s="417"/>
      <c r="D70" s="426"/>
      <c r="E70" s="599" t="str">
        <f ca="1">language!A164</f>
        <v>Мин.расх. (р.у.)</v>
      </c>
      <c r="F70" s="599"/>
      <c r="G70" s="599"/>
      <c r="H70" s="599"/>
      <c r="I70" s="599"/>
      <c r="J70" s="599"/>
      <c r="K70" s="599"/>
      <c r="L70" s="599"/>
      <c r="M70" s="601"/>
      <c r="N70" s="602"/>
      <c r="O70" s="602"/>
      <c r="P70" s="602"/>
      <c r="Q70" s="602"/>
      <c r="R70" s="603"/>
      <c r="S70" s="634" t="s">
        <v>1219</v>
      </c>
      <c r="T70" s="634"/>
      <c r="U70" s="634"/>
      <c r="V70" s="467"/>
      <c r="W70" s="632" t="str">
        <f ca="1">language!A165</f>
        <v>Макс.расх.(р.у.)</v>
      </c>
      <c r="X70" s="632"/>
      <c r="Y70" s="632"/>
      <c r="Z70" s="632"/>
      <c r="AA70" s="632"/>
      <c r="AB70" s="633"/>
      <c r="AC70" s="601"/>
      <c r="AD70" s="602"/>
      <c r="AE70" s="602"/>
      <c r="AF70" s="602"/>
      <c r="AG70" s="602"/>
      <c r="AH70" s="602"/>
      <c r="AI70" s="602"/>
      <c r="AJ70" s="602"/>
      <c r="AK70" s="603"/>
      <c r="AL70" s="604" t="str">
        <f>S70</f>
        <v>м³/ч</v>
      </c>
      <c r="AM70" s="604"/>
      <c r="AN70" s="396"/>
      <c r="AO70" s="464"/>
      <c r="AP70" s="396"/>
      <c r="AQ70" s="438"/>
      <c r="AR70" s="394"/>
      <c r="AS70" s="394"/>
      <c r="AT70" s="394"/>
      <c r="AU70" s="394"/>
      <c r="AV70" s="394"/>
    </row>
    <row r="71" spans="1:48" ht="9" customHeight="1">
      <c r="A71" s="438"/>
      <c r="B71" s="444"/>
      <c r="C71" s="406"/>
      <c r="D71" s="422"/>
      <c r="E71" s="418"/>
      <c r="F71" s="418"/>
      <c r="G71" s="418"/>
      <c r="H71" s="418"/>
      <c r="I71" s="418"/>
      <c r="J71" s="418"/>
      <c r="K71" s="468"/>
      <c r="L71" s="468"/>
      <c r="M71" s="418"/>
      <c r="N71" s="418"/>
      <c r="O71" s="418"/>
      <c r="P71" s="418"/>
      <c r="Q71" s="418"/>
      <c r="R71" s="465"/>
      <c r="S71" s="418"/>
      <c r="T71" s="418"/>
      <c r="U71" s="418"/>
      <c r="V71" s="418"/>
      <c r="W71" s="418"/>
      <c r="X71" s="418"/>
      <c r="Y71" s="418"/>
      <c r="Z71" s="419"/>
      <c r="AA71" s="419"/>
      <c r="AB71" s="419"/>
      <c r="AC71" s="419"/>
      <c r="AD71" s="419"/>
      <c r="AE71" s="419"/>
      <c r="AF71" s="419"/>
      <c r="AG71" s="419"/>
      <c r="AH71" s="419"/>
      <c r="AI71" s="419"/>
      <c r="AJ71" s="419"/>
      <c r="AK71" s="418"/>
      <c r="AL71" s="418"/>
      <c r="AM71" s="418"/>
      <c r="AN71" s="418"/>
      <c r="AO71" s="464"/>
      <c r="AP71" s="419"/>
      <c r="AQ71" s="438"/>
      <c r="AR71" s="394"/>
      <c r="AS71" s="394"/>
      <c r="AT71" s="394"/>
      <c r="AU71" s="394"/>
      <c r="AV71" s="394"/>
    </row>
    <row r="72" spans="1:48" ht="15">
      <c r="A72" s="438"/>
      <c r="C72" s="417"/>
      <c r="D72" s="426"/>
      <c r="E72" s="599" t="str">
        <f ca="1">language!A167</f>
        <v>Точки тестирования</v>
      </c>
      <c r="F72" s="599"/>
      <c r="G72" s="599"/>
      <c r="H72" s="599"/>
      <c r="I72" s="599"/>
      <c r="J72" s="599"/>
      <c r="K72" s="599"/>
      <c r="L72" s="599"/>
      <c r="M72" s="513" t="s">
        <v>1042</v>
      </c>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514"/>
      <c r="AK72" s="515"/>
      <c r="AL72" s="599" t="str">
        <f ca="1">language!A168</f>
        <v>от Qmax</v>
      </c>
      <c r="AM72" s="599"/>
      <c r="AN72" s="599"/>
      <c r="AO72" s="600"/>
      <c r="AP72" s="396"/>
      <c r="AQ72" s="438"/>
      <c r="AR72" s="394"/>
      <c r="AS72" s="394"/>
      <c r="AT72" s="394"/>
      <c r="AU72" s="394"/>
      <c r="AV72" s="394"/>
    </row>
    <row r="73" spans="1:48" ht="9" customHeight="1">
      <c r="A73" s="439"/>
      <c r="C73" s="417"/>
      <c r="D73" s="422"/>
      <c r="E73" s="418"/>
      <c r="F73" s="418"/>
      <c r="G73" s="418"/>
      <c r="H73" s="418"/>
      <c r="I73" s="418"/>
      <c r="J73" s="418"/>
      <c r="K73" s="418"/>
      <c r="L73" s="418"/>
      <c r="M73" s="419"/>
      <c r="N73" s="419"/>
      <c r="O73" s="419"/>
      <c r="P73" s="419"/>
      <c r="Q73" s="419"/>
      <c r="R73" s="465"/>
      <c r="S73" s="419"/>
      <c r="T73" s="419"/>
      <c r="U73" s="419"/>
      <c r="V73" s="419"/>
      <c r="W73" s="419"/>
      <c r="X73" s="419"/>
      <c r="Y73" s="419"/>
      <c r="Z73" s="419"/>
      <c r="AA73" s="563"/>
      <c r="AB73" s="563"/>
      <c r="AC73" s="563"/>
      <c r="AD73" s="563"/>
      <c r="AE73" s="563"/>
      <c r="AF73" s="563"/>
      <c r="AG73" s="419"/>
      <c r="AH73" s="419"/>
      <c r="AI73" s="419"/>
      <c r="AJ73" s="419"/>
      <c r="AK73" s="419"/>
      <c r="AL73" s="418"/>
      <c r="AM73" s="418"/>
      <c r="AN73" s="418"/>
      <c r="AO73" s="464"/>
      <c r="AP73" s="396"/>
      <c r="AQ73" s="439"/>
      <c r="AR73" s="394"/>
      <c r="AS73" s="394"/>
      <c r="AT73" s="394"/>
      <c r="AU73" s="394"/>
      <c r="AV73" s="394"/>
    </row>
    <row r="74" spans="1:48" ht="15">
      <c r="A74" s="438"/>
      <c r="C74" s="417"/>
      <c r="D74" s="397"/>
      <c r="E74" s="396"/>
      <c r="F74" s="396"/>
      <c r="G74" s="396"/>
      <c r="H74" s="396"/>
      <c r="I74" s="396"/>
      <c r="J74" s="396"/>
      <c r="K74" s="396"/>
      <c r="L74" s="396"/>
      <c r="M74" s="554"/>
      <c r="N74" s="554"/>
      <c r="O74" s="554"/>
      <c r="P74" s="554"/>
      <c r="Q74" s="554"/>
      <c r="R74" s="554"/>
      <c r="S74" s="554"/>
      <c r="T74" s="554"/>
      <c r="U74" s="554"/>
      <c r="V74" s="554"/>
      <c r="W74" s="554"/>
      <c r="X74" s="554"/>
      <c r="Y74" s="554"/>
      <c r="Z74" s="554"/>
      <c r="AA74" s="554"/>
      <c r="AB74" s="554"/>
      <c r="AC74" s="554"/>
      <c r="AD74" s="554"/>
      <c r="AE74" s="554"/>
      <c r="AF74" s="554"/>
      <c r="AG74" s="554"/>
      <c r="AH74" s="554"/>
      <c r="AI74" s="554"/>
      <c r="AJ74" s="554"/>
      <c r="AK74" s="554"/>
      <c r="AL74" s="599" t="str">
        <f ca="1">IF(M72=tp,language!A168,"")</f>
        <v/>
      </c>
      <c r="AM74" s="599"/>
      <c r="AN74" s="599"/>
      <c r="AO74" s="600"/>
      <c r="AP74" s="396"/>
      <c r="AQ74" s="438"/>
      <c r="AR74" s="394"/>
      <c r="AS74" s="394"/>
      <c r="AT74" s="394"/>
      <c r="AU74" s="394"/>
      <c r="AV74" s="394"/>
    </row>
    <row r="75" spans="1:48" s="444" customFormat="1" ht="9.75" customHeight="1">
      <c r="A75" s="438"/>
      <c r="B75" s="394"/>
      <c r="C75" s="417"/>
      <c r="D75" s="422"/>
      <c r="E75" s="418"/>
      <c r="F75" s="418"/>
      <c r="G75" s="418"/>
      <c r="H75" s="418"/>
      <c r="I75" s="418"/>
      <c r="J75" s="418"/>
      <c r="K75" s="418"/>
      <c r="L75" s="418"/>
      <c r="M75" s="419"/>
      <c r="N75" s="419"/>
      <c r="O75" s="419"/>
      <c r="P75" s="419"/>
      <c r="Q75" s="419"/>
      <c r="R75" s="419"/>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64"/>
      <c r="AP75" s="396"/>
      <c r="AQ75" s="438"/>
    </row>
    <row r="76" spans="1:48" ht="15">
      <c r="A76" s="438"/>
      <c r="C76" s="417"/>
      <c r="D76" s="397"/>
      <c r="E76" s="599" t="str">
        <f ca="1">language!A162</f>
        <v>Двунаправленный поток</v>
      </c>
      <c r="F76" s="599"/>
      <c r="G76" s="599"/>
      <c r="H76" s="599"/>
      <c r="I76" s="599"/>
      <c r="J76" s="599"/>
      <c r="K76" s="599"/>
      <c r="L76" s="599"/>
      <c r="M76" s="513" t="s">
        <v>528</v>
      </c>
      <c r="N76" s="514"/>
      <c r="O76" s="514"/>
      <c r="P76" s="514"/>
      <c r="Q76" s="514"/>
      <c r="R76" s="515"/>
      <c r="S76" s="419"/>
      <c r="T76" s="396"/>
      <c r="U76" s="396"/>
      <c r="V76" s="396"/>
      <c r="W76" s="396"/>
      <c r="X76" s="396"/>
      <c r="Y76" s="396"/>
      <c r="Z76" s="396"/>
      <c r="AA76" s="396"/>
      <c r="AB76" s="396"/>
      <c r="AC76" s="396"/>
      <c r="AD76" s="396"/>
      <c r="AE76" s="396"/>
      <c r="AF76" s="396"/>
      <c r="AG76" s="396"/>
      <c r="AH76" s="396"/>
      <c r="AI76" s="396"/>
      <c r="AJ76" s="396"/>
      <c r="AK76" s="396"/>
      <c r="AL76" s="396"/>
      <c r="AM76" s="396"/>
      <c r="AN76" s="396"/>
      <c r="AO76" s="408"/>
      <c r="AP76" s="396"/>
      <c r="AQ76" s="438"/>
      <c r="AR76" s="394"/>
      <c r="AS76" s="394"/>
      <c r="AT76" s="394"/>
      <c r="AU76" s="394"/>
      <c r="AV76" s="394"/>
    </row>
    <row r="77" spans="1:48" ht="15">
      <c r="A77" s="438"/>
      <c r="C77" s="424"/>
      <c r="D77" s="425"/>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69"/>
      <c r="AP77" s="396"/>
      <c r="AQ77" s="438"/>
      <c r="AR77" s="394"/>
      <c r="AS77" s="394"/>
      <c r="AT77" s="394"/>
      <c r="AU77" s="394"/>
      <c r="AV77" s="394"/>
    </row>
    <row r="78" spans="1:48" ht="15" customHeight="1">
      <c r="A78" s="438"/>
      <c r="C78" s="418"/>
      <c r="D78" s="397"/>
      <c r="E78" s="418"/>
      <c r="F78" s="418"/>
      <c r="G78" s="418"/>
      <c r="H78" s="418"/>
      <c r="I78" s="418"/>
      <c r="J78" s="418"/>
      <c r="K78" s="418"/>
      <c r="L78" s="418"/>
      <c r="M78" s="418"/>
      <c r="N78" s="418"/>
      <c r="O78" s="418"/>
      <c r="P78" s="418"/>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438"/>
      <c r="AR78" s="394"/>
      <c r="AS78" s="394"/>
      <c r="AT78" s="394"/>
      <c r="AU78" s="394"/>
      <c r="AV78" s="394"/>
    </row>
    <row r="79" spans="1:48" ht="15">
      <c r="A79" s="438"/>
      <c r="C79" s="508" t="str">
        <f ca="1">'Page1|Страница 1'!C89</f>
        <v>ООО "НПП КуйбышевТелеком-Метрология"</v>
      </c>
      <c r="D79" s="508"/>
      <c r="E79" s="508"/>
      <c r="F79" s="508"/>
      <c r="G79" s="508"/>
      <c r="H79" s="508"/>
      <c r="I79" s="508"/>
      <c r="J79" s="508"/>
      <c r="K79" s="508"/>
      <c r="L79" s="508"/>
      <c r="M79" s="508"/>
      <c r="N79" s="508"/>
      <c r="O79" s="508"/>
      <c r="P79" s="508"/>
      <c r="Q79" s="508"/>
      <c r="R79" s="508"/>
      <c r="S79" s="508"/>
      <c r="T79" s="508"/>
      <c r="U79" s="508"/>
      <c r="V79" s="508"/>
      <c r="W79" s="508"/>
      <c r="X79" s="418"/>
      <c r="Y79" s="418"/>
      <c r="Z79" s="418"/>
      <c r="AA79" s="418"/>
      <c r="AB79" s="418"/>
      <c r="AC79" s="396"/>
      <c r="AD79" s="396"/>
      <c r="AE79" s="396"/>
      <c r="AF79" s="396"/>
      <c r="AG79" s="396"/>
      <c r="AH79" s="396"/>
      <c r="AI79" s="396"/>
      <c r="AJ79" s="396"/>
      <c r="AK79" s="396"/>
      <c r="AL79" s="396"/>
      <c r="AM79" s="396"/>
      <c r="AN79" s="396"/>
      <c r="AO79" s="396"/>
      <c r="AP79" s="396"/>
      <c r="AQ79" s="438"/>
      <c r="AR79" s="394"/>
      <c r="AS79" s="394"/>
      <c r="AT79" s="394"/>
      <c r="AU79" s="394"/>
      <c r="AV79" s="394"/>
    </row>
    <row r="80" spans="1:48" ht="15">
      <c r="A80" s="438"/>
      <c r="C80" s="508" t="str">
        <f ca="1">'Page1|Страница 1'!C90</f>
        <v>443052, РФ, г.о. Самара, ул. Земеца 26Б, оф 413</v>
      </c>
      <c r="D80" s="508"/>
      <c r="E80" s="508"/>
      <c r="F80" s="508"/>
      <c r="G80" s="508"/>
      <c r="H80" s="508"/>
      <c r="I80" s="508"/>
      <c r="J80" s="508"/>
      <c r="K80" s="508"/>
      <c r="L80" s="508"/>
      <c r="M80" s="508"/>
      <c r="N80" s="508"/>
      <c r="O80" s="508"/>
      <c r="P80" s="508"/>
      <c r="Q80" s="508"/>
      <c r="R80" s="508"/>
      <c r="S80" s="508"/>
      <c r="T80" s="508"/>
      <c r="U80" s="508"/>
      <c r="V80" s="508"/>
      <c r="W80" s="508"/>
      <c r="X80" s="418"/>
      <c r="Y80" s="418"/>
      <c r="Z80" s="418"/>
      <c r="AA80" s="418"/>
      <c r="AB80" s="418"/>
      <c r="AC80" s="418"/>
      <c r="AD80" s="418"/>
      <c r="AE80" s="418"/>
      <c r="AF80" s="418"/>
      <c r="AG80" s="418"/>
      <c r="AH80" s="418"/>
      <c r="AI80" s="418"/>
      <c r="AJ80" s="418"/>
      <c r="AK80" s="418"/>
      <c r="AL80" s="418"/>
      <c r="AM80" s="396"/>
      <c r="AN80" s="396"/>
      <c r="AO80" s="396"/>
      <c r="AP80" s="396"/>
      <c r="AQ80" s="438"/>
      <c r="AR80" s="394"/>
      <c r="AS80" s="394"/>
      <c r="AT80" s="394"/>
      <c r="AU80" s="394"/>
      <c r="AV80" s="394"/>
    </row>
    <row r="81" spans="1:48" ht="15">
      <c r="A81" s="438"/>
      <c r="C81" s="508" t="str">
        <f ca="1">'Page1|Страница 1'!C91</f>
        <v>Телефон: 8(846)202-00-65 |Факс: 8(846)206-01-80 | E-mail: info@ktkprom.com</v>
      </c>
      <c r="D81" s="508"/>
      <c r="E81" s="508"/>
      <c r="F81" s="508"/>
      <c r="G81" s="508"/>
      <c r="H81" s="508"/>
      <c r="I81" s="508"/>
      <c r="J81" s="508"/>
      <c r="K81" s="508"/>
      <c r="L81" s="508"/>
      <c r="M81" s="508"/>
      <c r="N81" s="508"/>
      <c r="O81" s="508"/>
      <c r="P81" s="508"/>
      <c r="Q81" s="508"/>
      <c r="R81" s="508"/>
      <c r="S81" s="508"/>
      <c r="T81" s="508"/>
      <c r="U81" s="508"/>
      <c r="V81" s="508"/>
      <c r="W81" s="508"/>
      <c r="X81" s="508"/>
      <c r="Y81" s="418"/>
      <c r="Z81" s="418"/>
      <c r="AA81" s="418"/>
      <c r="AB81" s="456"/>
      <c r="AC81" s="470"/>
      <c r="AD81" s="470"/>
      <c r="AE81" s="470"/>
      <c r="AF81" s="470"/>
      <c r="AG81" s="470"/>
      <c r="AH81" s="470"/>
      <c r="AI81" s="470"/>
      <c r="AJ81" s="470"/>
      <c r="AK81" s="470"/>
      <c r="AL81" s="470"/>
      <c r="AM81" s="396"/>
      <c r="AN81" s="396"/>
      <c r="AO81" s="396"/>
      <c r="AP81" s="396"/>
      <c r="AQ81" s="438"/>
      <c r="AR81" s="394"/>
      <c r="AS81" s="394"/>
      <c r="AT81" s="394"/>
      <c r="AU81" s="394"/>
      <c r="AV81" s="394"/>
    </row>
    <row r="82" spans="1:48" ht="15">
      <c r="A82" s="438"/>
      <c r="C82" s="418"/>
      <c r="D82" s="397"/>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438"/>
      <c r="AR82" s="394"/>
      <c r="AS82" s="394"/>
      <c r="AT82" s="394"/>
      <c r="AU82" s="394"/>
      <c r="AV82" s="394"/>
    </row>
    <row r="83" spans="1:48" s="453" customFormat="1" ht="15">
      <c r="A83" s="452"/>
      <c r="C83" s="396">
        <f>'Page1|Страница 1'!C93</f>
        <v>0</v>
      </c>
      <c r="D83" s="397"/>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553" t="str">
        <f ca="1">CONCATENATE(language!A340," 2")</f>
        <v>Стр. 2</v>
      </c>
      <c r="AL83" s="553"/>
      <c r="AM83" s="553"/>
      <c r="AN83" s="553"/>
      <c r="AO83" s="553"/>
      <c r="AP83" s="396"/>
      <c r="AQ83" s="452"/>
    </row>
    <row r="84" spans="1:48" ht="15">
      <c r="A84" s="438"/>
      <c r="C84" s="418"/>
      <c r="D84" s="397"/>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438"/>
      <c r="AR84" s="394"/>
      <c r="AS84" s="394"/>
      <c r="AT84" s="394"/>
      <c r="AU84" s="394"/>
      <c r="AV84" s="394"/>
    </row>
    <row r="85" spans="1:48">
      <c r="A85" s="438"/>
      <c r="B85" s="438"/>
      <c r="C85" s="439"/>
      <c r="D85" s="440"/>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row>
    <row r="86" spans="1:48">
      <c r="A86" s="438"/>
      <c r="B86" s="438"/>
      <c r="C86" s="439"/>
      <c r="D86" s="440"/>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row>
    <row r="87" spans="1:48">
      <c r="A87" s="438"/>
      <c r="B87" s="438"/>
      <c r="C87" s="439"/>
      <c r="D87" s="440"/>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row>
  </sheetData>
  <mergeCells count="99">
    <mergeCell ref="E52:L52"/>
    <mergeCell ref="W51:AN53"/>
    <mergeCell ref="AD54:AL54"/>
    <mergeCell ref="M52:U52"/>
    <mergeCell ref="W55:AN57"/>
    <mergeCell ref="W54:AC54"/>
    <mergeCell ref="M54:R54"/>
    <mergeCell ref="E54:L54"/>
    <mergeCell ref="M56:R56"/>
    <mergeCell ref="M66:R66"/>
    <mergeCell ref="AC66:AK66"/>
    <mergeCell ref="E62:L62"/>
    <mergeCell ref="E60:K60"/>
    <mergeCell ref="E56:L56"/>
    <mergeCell ref="M64:AD64"/>
    <mergeCell ref="W70:AB70"/>
    <mergeCell ref="T46:V46"/>
    <mergeCell ref="W43:AC43"/>
    <mergeCell ref="AL72:AO72"/>
    <mergeCell ref="X66:AB66"/>
    <mergeCell ref="S68:U68"/>
    <mergeCell ref="M43:S43"/>
    <mergeCell ref="E50:N50"/>
    <mergeCell ref="E43:L43"/>
    <mergeCell ref="E46:S46"/>
    <mergeCell ref="T43:V43"/>
    <mergeCell ref="E64:L64"/>
    <mergeCell ref="E72:L72"/>
    <mergeCell ref="E66:L66"/>
    <mergeCell ref="S70:U70"/>
    <mergeCell ref="M62:R62"/>
    <mergeCell ref="M39:S39"/>
    <mergeCell ref="AM43:AN43"/>
    <mergeCell ref="M41:S41"/>
    <mergeCell ref="AD43:AL43"/>
    <mergeCell ref="E18:L18"/>
    <mergeCell ref="E36:L36"/>
    <mergeCell ref="E30:L30"/>
    <mergeCell ref="E32:L32"/>
    <mergeCell ref="M36:R36"/>
    <mergeCell ref="T36:AN36"/>
    <mergeCell ref="E28:L28"/>
    <mergeCell ref="E26:L26"/>
    <mergeCell ref="E39:L39"/>
    <mergeCell ref="AC39:AK39"/>
    <mergeCell ref="T37:AN37"/>
    <mergeCell ref="AL39:AN39"/>
    <mergeCell ref="M24:R24"/>
    <mergeCell ref="S30:U30"/>
    <mergeCell ref="M32:R32"/>
    <mergeCell ref="M30:R30"/>
    <mergeCell ref="M22:AK22"/>
    <mergeCell ref="AE32:AL32"/>
    <mergeCell ref="T34:AL34"/>
    <mergeCell ref="M34:R34"/>
    <mergeCell ref="AB32:AD32"/>
    <mergeCell ref="T32:Y32"/>
    <mergeCell ref="E3:AG3"/>
    <mergeCell ref="E4:AG4"/>
    <mergeCell ref="E5:AG5"/>
    <mergeCell ref="E8:J8"/>
    <mergeCell ref="E10:L10"/>
    <mergeCell ref="M10:T10"/>
    <mergeCell ref="E12:L12"/>
    <mergeCell ref="E16:L16"/>
    <mergeCell ref="M12:T12"/>
    <mergeCell ref="M20:T20"/>
    <mergeCell ref="U18:Z18"/>
    <mergeCell ref="V20:AB20"/>
    <mergeCell ref="V12:AN12"/>
    <mergeCell ref="E14:L14"/>
    <mergeCell ref="E20:L20"/>
    <mergeCell ref="AC20:AK20"/>
    <mergeCell ref="M16:T16"/>
    <mergeCell ref="M14:T14"/>
    <mergeCell ref="M18:T18"/>
    <mergeCell ref="AM28:AN28"/>
    <mergeCell ref="S28:U28"/>
    <mergeCell ref="M26:R26"/>
    <mergeCell ref="M28:R28"/>
    <mergeCell ref="AE28:AL28"/>
    <mergeCell ref="V26:AB26"/>
    <mergeCell ref="AC26:AK26"/>
    <mergeCell ref="M76:R76"/>
    <mergeCell ref="AL74:AO74"/>
    <mergeCell ref="M68:R68"/>
    <mergeCell ref="M70:R70"/>
    <mergeCell ref="AK83:AO83"/>
    <mergeCell ref="C79:W79"/>
    <mergeCell ref="C80:W80"/>
    <mergeCell ref="E76:L76"/>
    <mergeCell ref="C81:X81"/>
    <mergeCell ref="M74:AK74"/>
    <mergeCell ref="E68:L68"/>
    <mergeCell ref="AA73:AF73"/>
    <mergeCell ref="M72:AK72"/>
    <mergeCell ref="E70:L70"/>
    <mergeCell ref="AL70:AM70"/>
    <mergeCell ref="AC70:AK70"/>
  </mergeCells>
  <phoneticPr fontId="23" type="noConversion"/>
  <conditionalFormatting sqref="D10 D14 D16 D20 D12 D26 D28 D30 D32 D36 D24 V28 V30 D46 D52 D54 D56 V54">
    <cfRule type="expression" dxfId="130" priority="18" stopIfTrue="1">
      <formula>schalter1=2</formula>
    </cfRule>
  </conditionalFormatting>
  <conditionalFormatting sqref="T37:AN37">
    <cfRule type="expression" dxfId="129" priority="19" stopIfTrue="1">
      <formula>$T$37&lt;&gt;""</formula>
    </cfRule>
  </conditionalFormatting>
  <conditionalFormatting sqref="AC66:AK66">
    <cfRule type="expression" dxfId="128" priority="20" stopIfTrue="1">
      <formula>$M$66=other</formula>
    </cfRule>
  </conditionalFormatting>
  <conditionalFormatting sqref="D66 D68 D70 D72">
    <cfRule type="expression" dxfId="127" priority="21" stopIfTrue="1">
      <formula>OR(schalter1=2,calibratopn=drycalibration)</formula>
    </cfRule>
  </conditionalFormatting>
  <conditionalFormatting sqref="E66 E68 E70 E76 E62 AL72 AL74 M66:AK69 AL69:AN71 M75:AK75 E71:AK71 E72:L72 E73:AK74 S76:AA76 AC76:AK76 M70:W70">
    <cfRule type="expression" dxfId="126" priority="22" stopIfTrue="1">
      <formula>calibratopn=drycalibration</formula>
    </cfRule>
  </conditionalFormatting>
  <conditionalFormatting sqref="M26:R26 M32:R32 M36:R36 M39:S39 M41:S41 AC39:AK39 M43:S43 AD43:AL43 M54:R54 M56:R56 AD54:AL54 M64">
    <cfRule type="expression" dxfId="125" priority="23" stopIfTrue="1">
      <formula>farbe=1</formula>
    </cfRule>
  </conditionalFormatting>
  <conditionalFormatting sqref="T46 M12 M14 M16 M18 M20 AE28 M28 M30 M52">
    <cfRule type="expression" dxfId="124" priority="24" stopIfTrue="1">
      <formula>farbe=1</formula>
    </cfRule>
  </conditionalFormatting>
  <conditionalFormatting sqref="T36:AN36">
    <cfRule type="expression" dxfId="123" priority="25" stopIfTrue="1">
      <formula>AND($M$36=druckentnahme2,farbe=1)</formula>
    </cfRule>
  </conditionalFormatting>
  <conditionalFormatting sqref="M66:R66">
    <cfRule type="expression" dxfId="122" priority="28" stopIfTrue="1">
      <formula>AND(calibratopn&lt;&gt;drycalibration,farbe=1)</formula>
    </cfRule>
    <cfRule type="expression" dxfId="121" priority="29" stopIfTrue="1">
      <formula>AND(calibratopn&lt;&gt;drycalibration)</formula>
    </cfRule>
  </conditionalFormatting>
  <conditionalFormatting sqref="M68:R68 M70:R70">
    <cfRule type="expression" dxfId="120" priority="30" stopIfTrue="1">
      <formula>AND(calibratopn&lt;&gt;drycalibration,farbe=1)</formula>
    </cfRule>
    <cfRule type="expression" dxfId="119" priority="31" stopIfTrue="1">
      <formula>calibratopn&lt;&gt;drycalibration</formula>
    </cfRule>
  </conditionalFormatting>
  <conditionalFormatting sqref="M74:AK74">
    <cfRule type="expression" dxfId="118" priority="34" stopIfTrue="1">
      <formula>AND(farbe=1,$M$72=tp)</formula>
    </cfRule>
    <cfRule type="expression" dxfId="117" priority="35" stopIfTrue="1">
      <formula>$M$72=tp</formula>
    </cfRule>
  </conditionalFormatting>
  <conditionalFormatting sqref="V12:AN12">
    <cfRule type="expression" dxfId="116" priority="38" stopIfTrue="1">
      <formula>AND(farbe=1,$M$12=Material1)</formula>
    </cfRule>
  </conditionalFormatting>
  <conditionalFormatting sqref="M22:AK22">
    <cfRule type="expression" dxfId="115" priority="16" stopIfTrue="1">
      <formula>AND(farbe=1,$M$20=Flanschnorm1)</formula>
    </cfRule>
  </conditionalFormatting>
  <conditionalFormatting sqref="AM28:AN28">
    <cfRule type="expression" dxfId="114" priority="14" stopIfTrue="1">
      <formula>AND($S$28="")</formula>
    </cfRule>
  </conditionalFormatting>
  <conditionalFormatting sqref="AL70:AM70">
    <cfRule type="expression" dxfId="113" priority="13" stopIfTrue="1">
      <formula>AND($S$70="")</formula>
    </cfRule>
  </conditionalFormatting>
  <conditionalFormatting sqref="AL72:AO72">
    <cfRule type="expression" dxfId="112" priority="9" stopIfTrue="1">
      <formula>AND(M72=tp)</formula>
    </cfRule>
  </conditionalFormatting>
  <conditionalFormatting sqref="T43:V43">
    <cfRule type="expression" dxfId="111" priority="6" stopIfTrue="1">
      <formula>AND(M41=painting_E)</formula>
    </cfRule>
  </conditionalFormatting>
  <conditionalFormatting sqref="AL39:AN39">
    <cfRule type="expression" dxfId="110" priority="5" stopIfTrue="1">
      <formula>AND(M39=leakagetest_E)</formula>
    </cfRule>
  </conditionalFormatting>
  <conditionalFormatting sqref="T32:Y32">
    <cfRule type="expression" dxfId="109" priority="11" stopIfTrue="1">
      <formula>$M$32&lt;&gt;""</formula>
    </cfRule>
  </conditionalFormatting>
  <conditionalFormatting sqref="T32:Y32 AE32:AL32 T34:AL34">
    <cfRule type="expression" dxfId="108" priority="10" stopIfTrue="1">
      <formula>AND(farbe=1,$M$32=druckentnahme2)</formula>
    </cfRule>
  </conditionalFormatting>
  <conditionalFormatting sqref="M34:R34 AB32">
    <cfRule type="expression" dxfId="107" priority="1" stopIfTrue="1">
      <formula>AND($M$32=painting_E)</formula>
    </cfRule>
  </conditionalFormatting>
  <dataValidations count="25">
    <dataValidation type="whole" allowBlank="1" showInputMessage="1" showErrorMessage="1" error="Minimum / Минимум_x000a_0 bar / 0 psi(g)_x000a__x000a_Maximum / Максимум_x000a_450 bar / 6500 psi(g)" sqref="M30:R30">
      <formula1>AR30</formula1>
      <formula2>AS30</formula2>
    </dataValidation>
    <dataValidation type="list" allowBlank="1" showInputMessage="1" showErrorMessage="1" errorTitle="Notice / Hinweis" error="Value out of range._x000a_Значение вне диапазона._x000a_Wert außerhalb des gültigen Bereiches." sqref="M76:R76 T46:V46">
      <formula1>YesNo</formula1>
    </dataValidation>
    <dataValidation type="list" allowBlank="1" showInputMessage="1" showErrorMessage="1" errorTitle="Notice / Hinweis" error="Value out of range._x000a_Wert außerhalb des gültigen Bereiches." sqref="AC20:AK20">
      <formula1>IF(OR($M$20=flangefacing_GOST,MATCH($M$20,flangefacing,0)=2),surfacequality,"")</formula1>
    </dataValidation>
    <dataValidation type="list" allowBlank="1" showInputMessage="1" showErrorMessage="1" errorTitle="Notice / Hinweis" error="Value out of range._x000a_Значение вне диапазона._x000a_Wert außerhalb des gültigen Bereiches." sqref="M26:R26">
      <formula1>materialcertificate</formula1>
    </dataValidation>
    <dataValidation type="list" allowBlank="1" showInputMessage="1" showErrorMessage="1" errorTitle="Notice / Hinweis" error="Value out of range._x000a_Значение вне диапазона._x000a_Wert außerhalb des gültigen Bereiches." sqref="M54:R54">
      <formula1>engineering</formula1>
    </dataValidation>
    <dataValidation type="list" allowBlank="1" showInputMessage="1" showErrorMessage="1" errorTitle="Notice / Hinweis" error="Value out of range._x000a_Значение вне диапазона._x000a_Wert außerhalb des gültigen Bereiches." sqref="M56:R56">
      <formula1>frontpanel</formula1>
    </dataValidation>
    <dataValidation allowBlank="1" showInputMessage="1" sqref="M66:R66"/>
    <dataValidation type="list" allowBlank="1" showErrorMessage="1" errorTitle="Notice / Hinweis" error="Value out of range._x000a_Значение вне диапазона._x000a_Wert außerhalb des gültigen Bereiches." promptTitle="Type approval:" prompt="Hinweistext einfügen" sqref="M62:R62">
      <formula1>nationaltype</formula1>
    </dataValidation>
    <dataValidation type="list" allowBlank="1" showInputMessage="1" showErrorMessage="1" errorTitle="Notice / Hinweis" error="Value out of range._x000a_Значение вне диапазона._x000a_Wert außerhalb des gültigen Bereiches." sqref="M16:T16">
      <formula1>flangerating</formula1>
    </dataValidation>
    <dataValidation allowBlank="1" showInputMessage="1" showErrorMessage="1" error="Minimum / Минимум_x000a_-40 °C / -40 °F_x000a_" sqref="M28:R28"/>
    <dataValidation type="list" allowBlank="1" showInputMessage="1" showErrorMessage="1" errorTitle="Notice / Hinweis" error="Value out of range._x000a_Значение вне диапазона._x000a_Wert außerhalb des gültigen Bereiches." sqref="S28:U28">
      <formula1>Einheit_05</formula1>
    </dataValidation>
    <dataValidation type="list" allowBlank="1" showInputMessage="1" showErrorMessage="1" errorTitle="Notice / Hinweis" error="Value out of range._x000a_Значение вне диапазона._x000a_Wert außerhalb des gültigen Bereiches." sqref="S70:U70">
      <formula1>Einheit_02</formula1>
    </dataValidation>
    <dataValidation type="list" allowBlank="1" showInputMessage="1" showErrorMessage="1" errorTitle="Notice / Hinweis" error="Value out of range._x000a_Значение вне диапазона._x000a_Wert außerhalb des gültigen Bereiches." sqref="U18:Z18">
      <formula1>Einheit_10</formula1>
    </dataValidation>
    <dataValidation type="list" allowBlank="1" showInputMessage="1" showErrorMessage="1" errorTitle="Notice / Hinweis" error="Value out of range._x000a_Значение вне диапазона._x000a_Wert außerhalb des gültigen Bereiches." sqref="S68:U68 S30:U30 T43:V43 AL39:AN39">
      <formula1>Einheit_06</formula1>
    </dataValidation>
    <dataValidation type="list" allowBlank="1" showInputMessage="1" showErrorMessage="1" errorTitle="Notice / Hinweis" error="Value out of range._x000a_Wert außerhalb des gültigen Bereiches." sqref="AM43:AN43">
      <formula1>Einheit_11</formula1>
    </dataValidation>
    <dataValidation operator="greaterThan" allowBlank="1" showInputMessage="1" showErrorMessage="1" error="Maximum / Максимум_x000a_60 °C / 140 °F" sqref="AE28:AL28"/>
    <dataValidation type="list" allowBlank="1" showInputMessage="1" showErrorMessage="1" errorTitle="Notice / Hinweis" error="Value out of range._x000a_Значение вне диапазона._x000a_Wert außerhalb des gültigen Bereiches." sqref="M12:T12">
      <formula1>material</formula1>
    </dataValidation>
    <dataValidation type="list" allowBlank="1" showInputMessage="1" showErrorMessage="1" errorTitle="Notice / Hinweis" error="Value out of range._x000a_Значение вне диапазона._x000a_Wert außerhalb des gültigen Bereiches." sqref="M14:T14">
      <formula1>designcode</formula1>
    </dataValidation>
    <dataValidation type="list" allowBlank="1" showInputMessage="1" showErrorMessage="1" errorTitle="Notice / Hinweis" error="Value out of range._x000a_Значение вне диапазона._x000a_Wert außerhalb des gültigen Bereiches." sqref="M20:T20">
      <formula1>flangefacing</formula1>
    </dataValidation>
    <dataValidation type="list" allowBlank="1" showInputMessage="1" showErrorMessage="1" errorTitle="Notice / Hinweis" error="Value out of range._x000a_Значение вне диапазона._x000a_Wert außerhalb des gültigen Bereiches." sqref="M24:R24">
      <formula1>capmaterial</formula1>
    </dataValidation>
    <dataValidation type="list" allowBlank="1" showInputMessage="1" showErrorMessage="1" errorTitle="Notice / Hinweis" error="Value out of range._x000a_Значение вне диапазона._x000a_Wert außerhalb des gültigen Bereiches." sqref="M41:S41 M32:R32 M36:R36">
      <formula1>painting</formula1>
    </dataValidation>
    <dataValidation type="list" allowBlank="1" showInputMessage="1" showErrorMessage="1" errorTitle="Notice / Hinweis" error="Value out of range._x000a_Значение вне диапазона._x000a_Wert außerhalb des gültigen Bereiches." sqref="M39:S39">
      <formula1>leakagetest</formula1>
    </dataValidation>
    <dataValidation type="list" allowBlank="1" showInputMessage="1" showErrorMessage="1" errorTitle="Notice / Hinweis" error="Value out of range._x000a_Wert außerhalb des gültigen Bereiches." sqref="M72:AK72">
      <formula1>turndownratio</formula1>
    </dataValidation>
    <dataValidation allowBlank="1" showInputMessage="1" showErrorMessage="1" errorTitle="Notice / Hinweis" error="Value out of range._x000a_Wert außerhalb des gültigen Bereiches." sqref="AD54:AL54"/>
    <dataValidation type="list" allowBlank="1" showInputMessage="1" showErrorMessage="1" errorTitle="Notice / Hinweis" error="Value out of range._x000a_Значение вне диапазона._x000a_Wert außerhalb des gültigen Bereiches." sqref="M64">
      <formula1>calibration</formula1>
    </dataValidation>
  </dataValidations>
  <pageMargins left="0.39370078740157483" right="0.39" top="0.39370078740157483" bottom="0.39370078740157483" header="0.31496062992125984" footer="0.31496062992125984"/>
  <pageSetup paperSize="9" scale="74" orientation="portrait" horizontalDpi="4294967295" r:id="rId1"/>
  <headerFooter alignWithMargins="0"/>
  <ignoredErrors>
    <ignoredError sqref="M43" unlockedFormula="1"/>
  </ignoredErrors>
  <drawing r:id="rId2"/>
  <extLst>
    <ext xmlns:x14="http://schemas.microsoft.com/office/spreadsheetml/2009/9/main" uri="{CCE6A557-97BC-4b89-ADB6-D9C93CAAB3DF}">
      <x14:dataValidations xmlns:xm="http://schemas.microsoft.com/office/excel/2006/main" count="1">
        <x14:dataValidation type="list" allowBlank="1" showErrorMessage="1" errorTitle="Notice / Hinweis" error="Value out of range._x000a_Значение вне диапазона._x000a_Wert außerhalb des gültigen Bereiches." promptTitle="Hinweis/Notice" prompt="Die Explosionsschutzzulassung ist abhängig vom Bereich der Umgebungstemperatur./">
          <x14:formula1>
            <xm:f>Data!$BX$4:$BX$7</xm:f>
          </x14:formula1>
          <xm:sqref>M52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AR133"/>
  <sheetViews>
    <sheetView showGridLines="0" tabSelected="1" zoomScale="85" zoomScaleNormal="85" workbookViewId="0">
      <selection activeCell="Z8" sqref="Z8"/>
    </sheetView>
  </sheetViews>
  <sheetFormatPr defaultColWidth="11.42578125" defaultRowHeight="15"/>
  <cols>
    <col min="1" max="1" width="17.140625" style="345" customWidth="1"/>
    <col min="2" max="2" width="1.42578125" style="345" customWidth="1"/>
    <col min="3" max="3" width="1.42578125" style="346" customWidth="1"/>
    <col min="4" max="4" width="3.42578125" style="356" customWidth="1"/>
    <col min="5" max="10" width="2.85546875" style="345" customWidth="1"/>
    <col min="11" max="19" width="3.42578125" style="345" customWidth="1"/>
    <col min="20" max="20" width="3.85546875" style="345" customWidth="1"/>
    <col min="21" max="21" width="5.140625" style="345" customWidth="1"/>
    <col min="22" max="26" width="3.42578125" style="345" customWidth="1"/>
    <col min="27" max="27" width="5.140625" style="345" customWidth="1"/>
    <col min="28" max="32" width="3.42578125" style="345" customWidth="1"/>
    <col min="33" max="33" width="5.140625" style="345" customWidth="1"/>
    <col min="34" max="38" width="3.42578125" style="345" customWidth="1"/>
    <col min="39" max="39" width="5.140625" style="345" customWidth="1"/>
    <col min="40" max="40" width="3.42578125" style="345" customWidth="1"/>
    <col min="41" max="41" width="2.7109375" style="345" customWidth="1"/>
    <col min="42" max="42" width="1.42578125" style="345" customWidth="1"/>
    <col min="43" max="43" width="17.140625" style="345" customWidth="1"/>
    <col min="44" max="16384" width="11.42578125" style="345"/>
  </cols>
  <sheetData>
    <row r="1" spans="1:44">
      <c r="A1" s="342"/>
      <c r="B1" s="342"/>
      <c r="C1" s="343"/>
      <c r="D1" s="344"/>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row>
    <row r="2" spans="1:44" ht="9" customHeight="1">
      <c r="A2" s="342"/>
      <c r="AQ2" s="342"/>
    </row>
    <row r="3" spans="1:44" ht="23.25">
      <c r="A3" s="342"/>
      <c r="E3" s="537" t="str">
        <f ca="1">language!A4</f>
        <v>Опросный лист</v>
      </c>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667"/>
      <c r="AI3" s="667"/>
      <c r="AJ3" s="667"/>
      <c r="AK3" s="667"/>
      <c r="AL3" s="667"/>
      <c r="AM3" s="667"/>
      <c r="AN3" s="667"/>
      <c r="AO3" s="667"/>
      <c r="AQ3" s="342"/>
    </row>
    <row r="4" spans="1:44" ht="27.75">
      <c r="A4" s="342"/>
      <c r="E4" s="538" t="s">
        <v>1242</v>
      </c>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667"/>
      <c r="AI4" s="667"/>
      <c r="AJ4" s="667"/>
      <c r="AK4" s="667"/>
      <c r="AL4" s="667"/>
      <c r="AM4" s="667"/>
      <c r="AN4" s="667"/>
      <c r="AO4" s="667"/>
      <c r="AQ4" s="342"/>
    </row>
    <row r="5" spans="1:44" ht="23.25">
      <c r="A5" s="342"/>
      <c r="E5" s="539" t="str">
        <f ca="1">language!A5</f>
        <v>Счетчик газа ультразвуковой</v>
      </c>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667"/>
      <c r="AI5" s="667"/>
      <c r="AJ5" s="667"/>
      <c r="AK5" s="667"/>
      <c r="AL5" s="667"/>
      <c r="AM5" s="667"/>
      <c r="AN5" s="667"/>
      <c r="AO5" s="667"/>
      <c r="AQ5" s="342"/>
    </row>
    <row r="6" spans="1:44" ht="14.25" customHeight="1">
      <c r="A6" s="342"/>
      <c r="D6" s="357"/>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Q6" s="342"/>
    </row>
    <row r="7" spans="1:44" ht="9" customHeight="1">
      <c r="A7" s="342"/>
      <c r="C7" s="415"/>
      <c r="D7" s="416"/>
      <c r="E7" s="472"/>
      <c r="F7" s="403"/>
      <c r="G7" s="403"/>
      <c r="H7" s="404"/>
      <c r="I7" s="404"/>
      <c r="J7" s="404"/>
      <c r="K7" s="403"/>
      <c r="L7" s="472"/>
      <c r="M7" s="403"/>
      <c r="N7" s="403"/>
      <c r="O7" s="472"/>
      <c r="P7" s="403"/>
      <c r="Q7" s="403"/>
      <c r="R7" s="403"/>
      <c r="S7" s="403"/>
      <c r="T7" s="404"/>
      <c r="U7" s="404"/>
      <c r="V7" s="404"/>
      <c r="W7" s="404"/>
      <c r="X7" s="404"/>
      <c r="Y7" s="404"/>
      <c r="Z7" s="404"/>
      <c r="AA7" s="404"/>
      <c r="AB7" s="404"/>
      <c r="AC7" s="404"/>
      <c r="AD7" s="404"/>
      <c r="AE7" s="404"/>
      <c r="AF7" s="404"/>
      <c r="AG7" s="404"/>
      <c r="AH7" s="404"/>
      <c r="AI7" s="404"/>
      <c r="AJ7" s="404"/>
      <c r="AK7" s="404"/>
      <c r="AL7" s="404"/>
      <c r="AM7" s="404"/>
      <c r="AN7" s="404"/>
      <c r="AO7" s="405"/>
      <c r="AP7" s="396"/>
      <c r="AQ7" s="342"/>
    </row>
    <row r="8" spans="1:44" ht="15.75">
      <c r="A8" s="342"/>
      <c r="C8" s="417"/>
      <c r="D8" s="422"/>
      <c r="E8" s="482" t="str">
        <f ca="1">language!A293</f>
        <v>Конфигурация (вх./вых.)</v>
      </c>
      <c r="F8" s="482"/>
      <c r="G8" s="482"/>
      <c r="H8" s="482"/>
      <c r="I8" s="482"/>
      <c r="J8" s="482"/>
      <c r="K8" s="482"/>
      <c r="L8" s="482"/>
      <c r="M8" s="482"/>
      <c r="N8" s="396"/>
      <c r="O8" s="396"/>
      <c r="P8" s="513">
        <v>1</v>
      </c>
      <c r="Q8" s="514"/>
      <c r="R8" s="514"/>
      <c r="S8" s="514"/>
      <c r="T8" s="514"/>
      <c r="U8" s="515"/>
      <c r="V8" s="396"/>
      <c r="W8" s="473"/>
      <c r="X8" s="396"/>
      <c r="Y8" s="396"/>
      <c r="Z8" s="473"/>
      <c r="AA8" s="396"/>
      <c r="AB8" s="473"/>
      <c r="AC8" s="473"/>
      <c r="AD8" s="473"/>
      <c r="AE8" s="473"/>
      <c r="AF8" s="473"/>
      <c r="AG8" s="396"/>
      <c r="AH8" s="418"/>
      <c r="AI8" s="418"/>
      <c r="AJ8" s="418"/>
      <c r="AK8" s="418"/>
      <c r="AL8" s="418"/>
      <c r="AM8" s="418"/>
      <c r="AN8" s="418"/>
      <c r="AO8" s="408"/>
      <c r="AP8" s="396"/>
      <c r="AQ8" s="342"/>
    </row>
    <row r="9" spans="1:44" ht="12" customHeight="1">
      <c r="A9" s="342"/>
      <c r="C9" s="417"/>
      <c r="D9" s="422"/>
      <c r="E9" s="419"/>
      <c r="F9" s="419"/>
      <c r="G9" s="419"/>
      <c r="H9" s="419"/>
      <c r="I9" s="419"/>
      <c r="J9" s="419"/>
      <c r="K9" s="419"/>
      <c r="L9" s="419"/>
      <c r="M9" s="419"/>
      <c r="N9" s="419"/>
      <c r="O9" s="419"/>
      <c r="P9" s="419"/>
      <c r="Q9" s="419"/>
      <c r="R9" s="419"/>
      <c r="S9" s="419"/>
      <c r="T9" s="418"/>
      <c r="U9" s="418"/>
      <c r="V9" s="418"/>
      <c r="W9" s="418"/>
      <c r="X9" s="418"/>
      <c r="Y9" s="418"/>
      <c r="Z9" s="418"/>
      <c r="AA9" s="418"/>
      <c r="AB9" s="418"/>
      <c r="AC9" s="418"/>
      <c r="AD9" s="418"/>
      <c r="AE9" s="418"/>
      <c r="AF9" s="418"/>
      <c r="AG9" s="418"/>
      <c r="AH9" s="418"/>
      <c r="AI9" s="418"/>
      <c r="AJ9" s="418"/>
      <c r="AK9" s="418"/>
      <c r="AL9" s="418"/>
      <c r="AM9" s="418"/>
      <c r="AN9" s="418"/>
      <c r="AO9" s="408"/>
      <c r="AP9" s="396"/>
      <c r="AQ9" s="342"/>
    </row>
    <row r="10" spans="1:44" ht="9" customHeight="1">
      <c r="A10" s="342"/>
      <c r="C10" s="417"/>
      <c r="D10" s="432"/>
      <c r="E10" s="649" t="str">
        <f ca="1">language!A293</f>
        <v>Конфигурация (вх./вых.)</v>
      </c>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474"/>
      <c r="AO10" s="408"/>
      <c r="AP10" s="396"/>
      <c r="AQ10" s="342"/>
    </row>
    <row r="11" spans="1:44" s="348" customFormat="1" ht="14.25" customHeight="1">
      <c r="A11" s="343"/>
      <c r="B11" s="345"/>
      <c r="C11" s="417"/>
      <c r="D11" s="432"/>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474"/>
      <c r="AO11" s="408"/>
      <c r="AP11" s="396"/>
      <c r="AQ11" s="343"/>
    </row>
    <row r="12" spans="1:44" ht="14.25" customHeight="1">
      <c r="A12" s="342"/>
      <c r="C12" s="417"/>
      <c r="D12" s="397"/>
      <c r="E12" s="668">
        <v>1</v>
      </c>
      <c r="F12" s="669"/>
      <c r="G12" s="669"/>
      <c r="H12" s="669"/>
      <c r="I12" s="669"/>
      <c r="J12" s="669"/>
      <c r="K12" s="669"/>
      <c r="L12" s="669"/>
      <c r="M12" s="669"/>
      <c r="N12" s="669"/>
      <c r="O12" s="670"/>
      <c r="P12" s="668">
        <v>2</v>
      </c>
      <c r="Q12" s="669"/>
      <c r="R12" s="669"/>
      <c r="S12" s="669"/>
      <c r="T12" s="669"/>
      <c r="U12" s="669"/>
      <c r="V12" s="669"/>
      <c r="W12" s="669"/>
      <c r="X12" s="669"/>
      <c r="Y12" s="669"/>
      <c r="Z12" s="669"/>
      <c r="AA12" s="670"/>
      <c r="AB12" s="668">
        <v>3</v>
      </c>
      <c r="AC12" s="669"/>
      <c r="AD12" s="669"/>
      <c r="AE12" s="669"/>
      <c r="AF12" s="669"/>
      <c r="AG12" s="669"/>
      <c r="AH12" s="669"/>
      <c r="AI12" s="669"/>
      <c r="AJ12" s="669"/>
      <c r="AK12" s="669"/>
      <c r="AL12" s="669"/>
      <c r="AM12" s="670"/>
      <c r="AN12" s="474"/>
      <c r="AO12" s="408"/>
      <c r="AP12" s="396"/>
      <c r="AQ12" s="342"/>
      <c r="AR12" s="358" t="str">
        <f>Output_config_2</f>
        <v>№1 
- 2x импульсных/цифровых выхода
- 1x аналоговый вход 4-20мА + HART v7 Master (подключение датчиков давления, температуры)
- 1x цифровой выход RS-485 Slave, Modbus RTU и Modbus ASCII</v>
      </c>
    </row>
    <row r="13" spans="1:44" s="348" customFormat="1" ht="9" customHeight="1">
      <c r="A13" s="343"/>
      <c r="B13" s="345"/>
      <c r="C13" s="417"/>
      <c r="D13" s="419"/>
      <c r="E13" s="825" t="str">
        <f>Data!CW5</f>
        <v>№1 
- 2x импульсных/цифровых выхода
- 1x аналоговый вход 4-20мА + HART v7 Master (подключение датчиков давления, температуры)
- 1x цифровой выход RS-485 Slave, Modbus RTU и Modbus ASCII</v>
      </c>
      <c r="F13" s="825"/>
      <c r="G13" s="825"/>
      <c r="H13" s="825"/>
      <c r="I13" s="825"/>
      <c r="J13" s="825"/>
      <c r="K13" s="825"/>
      <c r="L13" s="825"/>
      <c r="M13" s="825"/>
      <c r="N13" s="825"/>
      <c r="O13" s="825"/>
      <c r="P13" s="825" t="str">
        <f>Data!CW6</f>
        <v>№2 
- 1x аналоговый выход 4-20мА + HART v7 Slave
- 1x аналоговый вход 4-20мА + HART v7 Master (подключение датчиков давления, температуры)
- 1x цифровой выход RS-485 Slave, Modbus RTU и Modbus ASCII</v>
      </c>
      <c r="Q13" s="825"/>
      <c r="R13" s="825"/>
      <c r="S13" s="825"/>
      <c r="T13" s="825"/>
      <c r="U13" s="825"/>
      <c r="V13" s="825"/>
      <c r="W13" s="825"/>
      <c r="X13" s="825"/>
      <c r="Y13" s="825"/>
      <c r="Z13" s="825"/>
      <c r="AA13" s="825"/>
      <c r="AB13" s="825" t="str">
        <f>Data!CW7</f>
        <v>№3 
- 2x импульсных/цифровых выхода
- 1x аналоговый выход 4-20мА + HART v7 Slave
- 1x цифровой выход RS-485 Slave, Modbus RTU и Modbus ASCII</v>
      </c>
      <c r="AC13" s="825"/>
      <c r="AD13" s="825"/>
      <c r="AE13" s="825"/>
      <c r="AF13" s="825"/>
      <c r="AG13" s="825"/>
      <c r="AH13" s="825"/>
      <c r="AI13" s="825"/>
      <c r="AJ13" s="825"/>
      <c r="AK13" s="825"/>
      <c r="AL13" s="825"/>
      <c r="AM13" s="825"/>
      <c r="AN13" s="475"/>
      <c r="AO13" s="408"/>
      <c r="AP13" s="396"/>
      <c r="AQ13" s="343"/>
    </row>
    <row r="14" spans="1:44" ht="14.25" customHeight="1">
      <c r="A14" s="342"/>
      <c r="C14" s="417"/>
      <c r="D14" s="397"/>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476"/>
      <c r="AO14" s="408"/>
      <c r="AP14" s="396"/>
      <c r="AQ14" s="342"/>
    </row>
    <row r="15" spans="1:44" s="348" customFormat="1" ht="9" customHeight="1">
      <c r="A15" s="343"/>
      <c r="B15" s="345"/>
      <c r="C15" s="417"/>
      <c r="D15" s="419"/>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477"/>
      <c r="AO15" s="408"/>
      <c r="AP15" s="396"/>
      <c r="AQ15" s="343"/>
    </row>
    <row r="16" spans="1:44" ht="14.25" customHeight="1">
      <c r="A16" s="342"/>
      <c r="C16" s="417"/>
      <c r="D16" s="397"/>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476"/>
      <c r="AO16" s="408"/>
      <c r="AP16" s="396"/>
      <c r="AQ16" s="342"/>
    </row>
    <row r="17" spans="1:43" s="348" customFormat="1" ht="9" customHeight="1">
      <c r="A17" s="343"/>
      <c r="B17" s="345"/>
      <c r="C17" s="417"/>
      <c r="D17" s="419"/>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477"/>
      <c r="AO17" s="408"/>
      <c r="AP17" s="396"/>
      <c r="AQ17" s="343"/>
    </row>
    <row r="18" spans="1:43" ht="14.25" customHeight="1">
      <c r="A18" s="342"/>
      <c r="C18" s="417"/>
      <c r="D18" s="397"/>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476"/>
      <c r="AO18" s="408"/>
      <c r="AP18" s="396"/>
      <c r="AQ18" s="342"/>
    </row>
    <row r="19" spans="1:43" s="348" customFormat="1" ht="9" customHeight="1">
      <c r="A19" s="343"/>
      <c r="B19" s="345"/>
      <c r="C19" s="417"/>
      <c r="D19" s="419"/>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477"/>
      <c r="AO19" s="408"/>
      <c r="AP19" s="396"/>
      <c r="AQ19" s="343"/>
    </row>
    <row r="20" spans="1:43" ht="14.25" customHeight="1">
      <c r="A20" s="342"/>
      <c r="C20" s="417"/>
      <c r="D20" s="397"/>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476"/>
      <c r="AO20" s="408"/>
      <c r="AP20" s="396"/>
      <c r="AQ20" s="342"/>
    </row>
    <row r="21" spans="1:43" s="348" customFormat="1" ht="9" customHeight="1">
      <c r="A21" s="343"/>
      <c r="B21" s="345"/>
      <c r="C21" s="417"/>
      <c r="D21" s="419"/>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477"/>
      <c r="AO21" s="408"/>
      <c r="AP21" s="396"/>
      <c r="AQ21" s="343"/>
    </row>
    <row r="22" spans="1:43" ht="14.25" customHeight="1">
      <c r="A22" s="342"/>
      <c r="C22" s="417"/>
      <c r="D22" s="397"/>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476"/>
      <c r="AO22" s="408"/>
      <c r="AP22" s="396"/>
      <c r="AQ22" s="342"/>
    </row>
    <row r="23" spans="1:43" ht="14.25" customHeight="1">
      <c r="A23" s="342"/>
      <c r="C23" s="417"/>
      <c r="D23" s="503"/>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5"/>
      <c r="AM23" s="825"/>
      <c r="AN23" s="476"/>
      <c r="AO23" s="408"/>
      <c r="AP23" s="396"/>
      <c r="AQ23" s="342"/>
    </row>
    <row r="24" spans="1:43" ht="14.25" customHeight="1">
      <c r="A24" s="342"/>
      <c r="C24" s="417"/>
      <c r="D24" s="397"/>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476"/>
      <c r="AO24" s="408"/>
      <c r="AP24" s="396"/>
      <c r="AQ24" s="342"/>
    </row>
    <row r="25" spans="1:43" ht="14.25" customHeight="1">
      <c r="A25" s="342"/>
      <c r="C25" s="417"/>
      <c r="D25" s="397"/>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476"/>
      <c r="AO25" s="408"/>
      <c r="AP25" s="396"/>
      <c r="AQ25" s="342"/>
    </row>
    <row r="26" spans="1:43" ht="14.25" customHeight="1">
      <c r="A26" s="342"/>
      <c r="C26" s="417"/>
      <c r="D26" s="506"/>
      <c r="E26" s="668">
        <v>4</v>
      </c>
      <c r="F26" s="669"/>
      <c r="G26" s="669"/>
      <c r="H26" s="669"/>
      <c r="I26" s="669"/>
      <c r="J26" s="669"/>
      <c r="K26" s="669"/>
      <c r="L26" s="669"/>
      <c r="M26" s="669"/>
      <c r="N26" s="669"/>
      <c r="O26" s="670"/>
      <c r="P26" s="668">
        <v>5</v>
      </c>
      <c r="Q26" s="669"/>
      <c r="R26" s="669"/>
      <c r="S26" s="669"/>
      <c r="T26" s="669"/>
      <c r="U26" s="669"/>
      <c r="V26" s="669"/>
      <c r="W26" s="669"/>
      <c r="X26" s="669"/>
      <c r="Y26" s="669"/>
      <c r="Z26" s="669"/>
      <c r="AA26" s="670"/>
      <c r="AB26" s="668"/>
      <c r="AC26" s="669"/>
      <c r="AD26" s="669"/>
      <c r="AE26" s="669"/>
      <c r="AF26" s="669"/>
      <c r="AG26" s="669"/>
      <c r="AH26" s="669"/>
      <c r="AI26" s="669"/>
      <c r="AJ26" s="669"/>
      <c r="AK26" s="669"/>
      <c r="AL26" s="669"/>
      <c r="AM26" s="670"/>
      <c r="AN26" s="476"/>
      <c r="AO26" s="408"/>
      <c r="AP26" s="396"/>
      <c r="AQ26" s="342"/>
    </row>
    <row r="27" spans="1:43" ht="14.25" customHeight="1">
      <c r="A27" s="342"/>
      <c r="C27" s="417"/>
      <c r="D27" s="506"/>
      <c r="E27" s="825" t="str">
        <f>Data!CW8</f>
        <v>№4 
- 2 импульсных/цифровых выхода
- 1x аналоговый вход 4-20мА + HART v7 Master (подключение датчиков давления, температуры)
- 1x выход Ethernet Slave</v>
      </c>
      <c r="F27" s="825"/>
      <c r="G27" s="825"/>
      <c r="H27" s="825"/>
      <c r="I27" s="825"/>
      <c r="J27" s="825"/>
      <c r="K27" s="825"/>
      <c r="L27" s="825"/>
      <c r="M27" s="825"/>
      <c r="N27" s="825"/>
      <c r="O27" s="825"/>
      <c r="P27" s="825" t="str">
        <f>Data!CW9</f>
        <v>№5 
- 3x импульсных/цифровых выхода
- 2x цифровой выход RS-485 Slave, Modbus RTU и Modbus ASCII</v>
      </c>
      <c r="Q27" s="825"/>
      <c r="R27" s="825"/>
      <c r="S27" s="825"/>
      <c r="T27" s="825"/>
      <c r="U27" s="825"/>
      <c r="V27" s="825"/>
      <c r="W27" s="825"/>
      <c r="X27" s="825"/>
      <c r="Y27" s="825"/>
      <c r="Z27" s="825"/>
      <c r="AA27" s="825"/>
      <c r="AB27" s="825"/>
      <c r="AC27" s="825"/>
      <c r="AD27" s="825"/>
      <c r="AE27" s="825"/>
      <c r="AF27" s="825"/>
      <c r="AG27" s="825"/>
      <c r="AH27" s="825"/>
      <c r="AI27" s="825"/>
      <c r="AJ27" s="825"/>
      <c r="AK27" s="825"/>
      <c r="AL27" s="825"/>
      <c r="AM27" s="825"/>
      <c r="AN27" s="476"/>
      <c r="AO27" s="408"/>
      <c r="AP27" s="396"/>
      <c r="AQ27" s="342"/>
    </row>
    <row r="28" spans="1:43" ht="14.25" customHeight="1">
      <c r="A28" s="342"/>
      <c r="C28" s="417"/>
      <c r="D28" s="506"/>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476"/>
      <c r="AO28" s="408"/>
      <c r="AP28" s="396"/>
      <c r="AQ28" s="342"/>
    </row>
    <row r="29" spans="1:43" ht="14.25" customHeight="1">
      <c r="A29" s="342"/>
      <c r="C29" s="417"/>
      <c r="D29" s="506"/>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476"/>
      <c r="AO29" s="408"/>
      <c r="AP29" s="396"/>
      <c r="AQ29" s="342"/>
    </row>
    <row r="30" spans="1:43" ht="15" customHeight="1">
      <c r="A30" s="342"/>
      <c r="C30" s="417"/>
      <c r="D30" s="397"/>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c r="AN30" s="476"/>
      <c r="AO30" s="408"/>
      <c r="AP30" s="396"/>
      <c r="AQ30" s="342"/>
    </row>
    <row r="31" spans="1:43" ht="14.25" customHeight="1">
      <c r="A31" s="342"/>
      <c r="C31" s="417"/>
      <c r="D31" s="397"/>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5"/>
      <c r="AM31" s="825"/>
      <c r="AN31" s="476"/>
      <c r="AO31" s="408"/>
      <c r="AP31" s="396"/>
      <c r="AQ31" s="342"/>
    </row>
    <row r="32" spans="1:43" ht="14.25" customHeight="1">
      <c r="A32" s="342"/>
      <c r="C32" s="417"/>
      <c r="D32" s="397"/>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476"/>
      <c r="AO32" s="408"/>
      <c r="AP32" s="396"/>
      <c r="AQ32" s="342"/>
    </row>
    <row r="33" spans="1:43" ht="14.25" customHeight="1">
      <c r="A33" s="342"/>
      <c r="C33" s="417"/>
      <c r="D33" s="397"/>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c r="AM33" s="825"/>
      <c r="AN33" s="476"/>
      <c r="AO33" s="408"/>
      <c r="AP33" s="396"/>
      <c r="AQ33" s="342"/>
    </row>
    <row r="34" spans="1:43" ht="14.25" customHeight="1">
      <c r="A34" s="342"/>
      <c r="C34" s="417"/>
      <c r="D34" s="397"/>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476"/>
      <c r="AO34" s="408"/>
      <c r="AP34" s="396"/>
      <c r="AQ34" s="342"/>
    </row>
    <row r="35" spans="1:43" ht="14.25" customHeight="1">
      <c r="A35" s="342"/>
      <c r="C35" s="417"/>
      <c r="D35" s="397"/>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476"/>
      <c r="AO35" s="408"/>
      <c r="AP35" s="396"/>
      <c r="AQ35" s="342"/>
    </row>
    <row r="36" spans="1:43" ht="14.25" customHeight="1">
      <c r="A36" s="342"/>
      <c r="C36" s="417"/>
      <c r="D36" s="397"/>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476"/>
      <c r="AO36" s="408"/>
      <c r="AP36" s="396"/>
      <c r="AQ36" s="342"/>
    </row>
    <row r="37" spans="1:43" ht="14.25" customHeight="1">
      <c r="A37" s="342"/>
      <c r="C37" s="417"/>
      <c r="D37" s="397"/>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476"/>
      <c r="AO37" s="408"/>
      <c r="AP37" s="396"/>
      <c r="AQ37" s="342"/>
    </row>
    <row r="38" spans="1:43" ht="14.25" customHeight="1">
      <c r="A38" s="342"/>
      <c r="C38" s="417"/>
      <c r="D38" s="397"/>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476"/>
      <c r="AO38" s="408"/>
      <c r="AP38" s="396"/>
      <c r="AQ38" s="342"/>
    </row>
    <row r="39" spans="1:43" ht="9.75" customHeight="1">
      <c r="A39" s="342"/>
      <c r="C39" s="417"/>
      <c r="D39" s="397"/>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476"/>
      <c r="AO39" s="408"/>
      <c r="AP39" s="396"/>
      <c r="AQ39" s="342"/>
    </row>
    <row r="40" spans="1:43" ht="15.75" customHeight="1">
      <c r="A40" s="342"/>
      <c r="C40" s="417"/>
      <c r="D40" s="397"/>
      <c r="E40" s="666" t="str">
        <f ca="1">language!A526</f>
        <v>EVC - Встроенный вычислитель расхода</v>
      </c>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476"/>
      <c r="AO40" s="408"/>
      <c r="AP40" s="396"/>
      <c r="AQ40" s="342"/>
    </row>
    <row r="41" spans="1:43" ht="7.5" customHeight="1">
      <c r="A41" s="342"/>
      <c r="C41" s="417"/>
      <c r="D41" s="39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476"/>
      <c r="AO41" s="408"/>
      <c r="AP41" s="396"/>
      <c r="AQ41" s="342"/>
    </row>
    <row r="42" spans="1:43" s="360" customFormat="1" ht="33.75" customHeight="1">
      <c r="A42" s="359"/>
      <c r="C42" s="478"/>
      <c r="D42" s="479"/>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480"/>
      <c r="AO42" s="481"/>
      <c r="AP42" s="491"/>
      <c r="AQ42" s="359"/>
    </row>
    <row r="43" spans="1:43" ht="6" customHeight="1">
      <c r="A43" s="342"/>
      <c r="C43" s="417"/>
      <c r="D43" s="422"/>
      <c r="E43" s="504"/>
      <c r="F43" s="504"/>
      <c r="G43" s="504"/>
      <c r="H43" s="504"/>
      <c r="I43" s="504"/>
      <c r="J43" s="504"/>
      <c r="K43" s="504"/>
      <c r="L43" s="504"/>
      <c r="M43" s="504"/>
      <c r="N43" s="504"/>
      <c r="O43" s="504"/>
      <c r="P43" s="504"/>
      <c r="Q43" s="504"/>
      <c r="R43" s="504"/>
      <c r="S43" s="504"/>
      <c r="T43" s="504"/>
      <c r="U43" s="504"/>
      <c r="V43" s="504"/>
      <c r="W43" s="504"/>
      <c r="X43" s="504"/>
      <c r="Y43" s="504"/>
      <c r="Z43" s="419"/>
      <c r="AA43" s="419"/>
      <c r="AB43" s="419"/>
      <c r="AC43" s="419"/>
      <c r="AD43" s="419"/>
      <c r="AE43" s="419"/>
      <c r="AF43" s="419"/>
      <c r="AG43" s="419"/>
      <c r="AH43" s="419"/>
      <c r="AI43" s="419"/>
      <c r="AJ43" s="419"/>
      <c r="AK43" s="419"/>
      <c r="AL43" s="419"/>
      <c r="AM43" s="419"/>
      <c r="AN43" s="418"/>
      <c r="AO43" s="408"/>
      <c r="AP43" s="396"/>
      <c r="AQ43" s="342"/>
    </row>
    <row r="44" spans="1:43" ht="14.25" customHeight="1">
      <c r="A44" s="342"/>
      <c r="C44" s="417"/>
      <c r="D44" s="42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19"/>
      <c r="AL44" s="419"/>
      <c r="AM44" s="419"/>
      <c r="AN44" s="418"/>
      <c r="AO44" s="408"/>
      <c r="AP44" s="417"/>
      <c r="AQ44" s="342"/>
    </row>
    <row r="45" spans="1:43" s="348" customFormat="1" ht="14.25" customHeight="1">
      <c r="A45" s="343"/>
      <c r="B45" s="345"/>
      <c r="C45" s="417"/>
      <c r="D45" s="42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19"/>
      <c r="AL45" s="419"/>
      <c r="AM45" s="419"/>
      <c r="AN45" s="419"/>
      <c r="AO45" s="408"/>
      <c r="AP45" s="417"/>
      <c r="AQ45" s="343"/>
    </row>
    <row r="46" spans="1:43" ht="17.25" customHeight="1">
      <c r="A46" s="342"/>
      <c r="C46" s="417"/>
      <c r="D46" s="422"/>
      <c r="E46" s="824"/>
      <c r="F46" s="824"/>
      <c r="G46" s="824"/>
      <c r="H46" s="824"/>
      <c r="I46" s="824"/>
      <c r="J46" s="824"/>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8"/>
      <c r="AO46" s="408"/>
      <c r="AP46" s="417"/>
      <c r="AQ46" s="342"/>
    </row>
    <row r="47" spans="1:43" ht="17.25" customHeight="1">
      <c r="A47" s="342"/>
      <c r="C47" s="417"/>
      <c r="D47" s="426"/>
      <c r="E47" s="824"/>
      <c r="F47" s="824"/>
      <c r="G47" s="824"/>
      <c r="H47" s="824"/>
      <c r="I47" s="824"/>
      <c r="J47" s="824"/>
      <c r="K47" s="829"/>
      <c r="L47" s="829"/>
      <c r="M47" s="829"/>
      <c r="N47" s="829"/>
      <c r="O47" s="829"/>
      <c r="P47" s="829"/>
      <c r="Q47" s="829"/>
      <c r="R47" s="829"/>
      <c r="S47" s="829"/>
      <c r="T47" s="829"/>
      <c r="U47" s="829"/>
      <c r="V47" s="829"/>
      <c r="W47" s="829"/>
      <c r="X47" s="829"/>
      <c r="Y47" s="829"/>
      <c r="Z47" s="830"/>
      <c r="AA47" s="830"/>
      <c r="AB47" s="830"/>
      <c r="AC47" s="830"/>
      <c r="AD47" s="830"/>
      <c r="AE47" s="830"/>
      <c r="AF47" s="830"/>
      <c r="AG47" s="830"/>
      <c r="AH47" s="830"/>
      <c r="AI47" s="830"/>
      <c r="AJ47" s="830"/>
      <c r="AK47" s="419"/>
      <c r="AL47" s="419"/>
      <c r="AM47" s="419"/>
      <c r="AN47" s="418"/>
      <c r="AO47" s="408"/>
      <c r="AP47" s="417"/>
      <c r="AQ47" s="342"/>
    </row>
    <row r="48" spans="1:43" ht="17.25" customHeight="1">
      <c r="A48" s="342"/>
      <c r="C48" s="417"/>
      <c r="D48" s="426"/>
      <c r="E48" s="824"/>
      <c r="F48" s="824"/>
      <c r="G48" s="824"/>
      <c r="H48" s="824"/>
      <c r="I48" s="824"/>
      <c r="J48" s="824"/>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8"/>
      <c r="AO48" s="408"/>
      <c r="AP48" s="417"/>
      <c r="AQ48" s="342"/>
    </row>
    <row r="49" spans="1:43" ht="6" customHeight="1">
      <c r="A49" s="342"/>
      <c r="C49" s="417"/>
      <c r="D49" s="426"/>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8"/>
      <c r="AO49" s="408"/>
      <c r="AP49" s="417"/>
      <c r="AQ49" s="342"/>
    </row>
    <row r="50" spans="1:43" ht="14.25" customHeight="1">
      <c r="A50" s="342"/>
      <c r="C50" s="417"/>
      <c r="D50" s="426"/>
      <c r="E50" s="419"/>
      <c r="F50" s="419"/>
      <c r="G50" s="419"/>
      <c r="H50" s="419"/>
      <c r="I50" s="419"/>
      <c r="J50" s="419"/>
      <c r="K50" s="829"/>
      <c r="L50" s="829"/>
      <c r="M50" s="829"/>
      <c r="N50" s="829"/>
      <c r="O50" s="829"/>
      <c r="P50" s="829"/>
      <c r="Q50" s="829"/>
      <c r="R50" s="829"/>
      <c r="S50" s="829"/>
      <c r="T50" s="829"/>
      <c r="U50" s="829"/>
      <c r="V50" s="829"/>
      <c r="W50" s="829"/>
      <c r="X50" s="829"/>
      <c r="Y50" s="829"/>
      <c r="Z50" s="419"/>
      <c r="AA50" s="419"/>
      <c r="AB50" s="419"/>
      <c r="AC50" s="419"/>
      <c r="AD50" s="419"/>
      <c r="AE50" s="419"/>
      <c r="AF50" s="419"/>
      <c r="AG50" s="419"/>
      <c r="AH50" s="419"/>
      <c r="AI50" s="419"/>
      <c r="AJ50" s="419"/>
      <c r="AK50" s="419"/>
      <c r="AL50" s="419"/>
      <c r="AM50" s="419"/>
      <c r="AN50" s="418"/>
      <c r="AO50" s="408"/>
      <c r="AP50" s="417"/>
      <c r="AQ50" s="342"/>
    </row>
    <row r="51" spans="1:43" ht="6" customHeight="1">
      <c r="A51" s="342"/>
      <c r="C51" s="417"/>
      <c r="D51" s="426"/>
      <c r="E51" s="505"/>
      <c r="F51" s="505"/>
      <c r="G51" s="505"/>
      <c r="H51" s="505"/>
      <c r="I51" s="505"/>
      <c r="J51" s="505"/>
      <c r="K51" s="419"/>
      <c r="L51" s="419"/>
      <c r="M51" s="419"/>
      <c r="N51" s="419"/>
      <c r="O51" s="419"/>
      <c r="P51" s="419"/>
      <c r="Q51" s="419"/>
      <c r="R51" s="419"/>
      <c r="S51" s="419"/>
      <c r="T51" s="419"/>
      <c r="U51" s="419"/>
      <c r="V51" s="419"/>
      <c r="W51" s="419"/>
      <c r="X51" s="419"/>
      <c r="Y51" s="419"/>
      <c r="Z51" s="505"/>
      <c r="AA51" s="505"/>
      <c r="AB51" s="505"/>
      <c r="AC51" s="505"/>
      <c r="AD51" s="505"/>
      <c r="AE51" s="419"/>
      <c r="AF51" s="419"/>
      <c r="AG51" s="419"/>
      <c r="AH51" s="419"/>
      <c r="AI51" s="419"/>
      <c r="AJ51" s="419"/>
      <c r="AK51" s="419"/>
      <c r="AL51" s="419"/>
      <c r="AM51" s="419"/>
      <c r="AN51" s="418"/>
      <c r="AO51" s="408"/>
      <c r="AP51" s="417"/>
      <c r="AQ51" s="342"/>
    </row>
    <row r="52" spans="1:43" ht="6" customHeight="1">
      <c r="A52" s="342"/>
      <c r="C52" s="417"/>
      <c r="D52" s="426"/>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8"/>
      <c r="AO52" s="408"/>
      <c r="AP52" s="417"/>
      <c r="AQ52" s="342"/>
    </row>
    <row r="53" spans="1:43" ht="14.25" customHeight="1">
      <c r="A53" s="342"/>
      <c r="C53" s="417"/>
      <c r="D53" s="426"/>
      <c r="E53" s="419"/>
      <c r="F53" s="419"/>
      <c r="G53" s="419"/>
      <c r="H53" s="419"/>
      <c r="I53" s="419"/>
      <c r="J53" s="419"/>
      <c r="K53" s="829"/>
      <c r="L53" s="829"/>
      <c r="M53" s="829"/>
      <c r="N53" s="829"/>
      <c r="O53" s="829"/>
      <c r="P53" s="829"/>
      <c r="Q53" s="829"/>
      <c r="R53" s="829"/>
      <c r="S53" s="829"/>
      <c r="T53" s="829"/>
      <c r="U53" s="829"/>
      <c r="V53" s="829"/>
      <c r="W53" s="829"/>
      <c r="X53" s="829"/>
      <c r="Y53" s="829"/>
      <c r="Z53" s="830"/>
      <c r="AA53" s="830"/>
      <c r="AB53" s="830"/>
      <c r="AC53" s="830"/>
      <c r="AD53" s="830"/>
      <c r="AE53" s="829"/>
      <c r="AF53" s="829"/>
      <c r="AG53" s="829"/>
      <c r="AH53" s="829"/>
      <c r="AI53" s="829"/>
      <c r="AJ53" s="829"/>
      <c r="AK53" s="419"/>
      <c r="AL53" s="419"/>
      <c r="AM53" s="419"/>
      <c r="AN53" s="418"/>
      <c r="AO53" s="408"/>
      <c r="AP53" s="417"/>
      <c r="AQ53" s="342"/>
    </row>
    <row r="54" spans="1:43" ht="6" customHeight="1">
      <c r="A54" s="342"/>
      <c r="C54" s="417"/>
      <c r="D54" s="426"/>
      <c r="E54" s="505"/>
      <c r="F54" s="505"/>
      <c r="G54" s="505"/>
      <c r="H54" s="505"/>
      <c r="I54" s="505"/>
      <c r="J54" s="505"/>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8"/>
      <c r="AO54" s="408"/>
      <c r="AP54" s="417"/>
      <c r="AQ54" s="342"/>
    </row>
    <row r="55" spans="1:43" ht="6" customHeight="1">
      <c r="A55" s="342"/>
      <c r="C55" s="417"/>
      <c r="D55" s="426"/>
      <c r="E55" s="419"/>
      <c r="F55" s="419"/>
      <c r="G55" s="419"/>
      <c r="H55" s="419"/>
      <c r="I55" s="419"/>
      <c r="J55" s="419"/>
      <c r="K55" s="829"/>
      <c r="L55" s="829"/>
      <c r="M55" s="829"/>
      <c r="N55" s="829"/>
      <c r="O55" s="829"/>
      <c r="P55" s="829"/>
      <c r="Q55" s="829"/>
      <c r="R55" s="829"/>
      <c r="S55" s="829"/>
      <c r="T55" s="829"/>
      <c r="U55" s="829"/>
      <c r="V55" s="829"/>
      <c r="W55" s="829"/>
      <c r="X55" s="829"/>
      <c r="Y55" s="829"/>
      <c r="Z55" s="831"/>
      <c r="AA55" s="831"/>
      <c r="AB55" s="831"/>
      <c r="AC55" s="831"/>
      <c r="AD55" s="831"/>
      <c r="AE55" s="831"/>
      <c r="AF55" s="831"/>
      <c r="AG55" s="831"/>
      <c r="AH55" s="831"/>
      <c r="AI55" s="831"/>
      <c r="AJ55" s="831"/>
      <c r="AK55" s="419"/>
      <c r="AL55" s="419"/>
      <c r="AM55" s="419"/>
      <c r="AN55" s="418"/>
      <c r="AO55" s="408"/>
      <c r="AP55" s="417"/>
      <c r="AQ55" s="342"/>
    </row>
    <row r="56" spans="1:43" ht="14.25" customHeight="1">
      <c r="A56" s="342"/>
      <c r="C56" s="417"/>
      <c r="D56" s="426"/>
      <c r="E56" s="419"/>
      <c r="F56" s="419"/>
      <c r="G56" s="419"/>
      <c r="H56" s="419"/>
      <c r="I56" s="419"/>
      <c r="J56" s="419"/>
      <c r="K56" s="829"/>
      <c r="L56" s="829"/>
      <c r="M56" s="829"/>
      <c r="N56" s="829"/>
      <c r="O56" s="829"/>
      <c r="P56" s="829"/>
      <c r="Q56" s="829"/>
      <c r="R56" s="829"/>
      <c r="S56" s="829"/>
      <c r="T56" s="829"/>
      <c r="U56" s="829"/>
      <c r="V56" s="829"/>
      <c r="W56" s="829"/>
      <c r="X56" s="829"/>
      <c r="Y56" s="829"/>
      <c r="Z56" s="830"/>
      <c r="AA56" s="830"/>
      <c r="AB56" s="830"/>
      <c r="AC56" s="830"/>
      <c r="AD56" s="830"/>
      <c r="AE56" s="829"/>
      <c r="AF56" s="829"/>
      <c r="AG56" s="829"/>
      <c r="AH56" s="829"/>
      <c r="AI56" s="829"/>
      <c r="AJ56" s="829"/>
      <c r="AK56" s="419"/>
      <c r="AL56" s="419"/>
      <c r="AM56" s="419"/>
      <c r="AN56" s="418"/>
      <c r="AO56" s="408"/>
      <c r="AP56" s="417"/>
      <c r="AQ56" s="342"/>
    </row>
    <row r="57" spans="1:43" ht="6" customHeight="1">
      <c r="A57" s="342"/>
      <c r="C57" s="417"/>
      <c r="D57" s="426"/>
      <c r="E57" s="505"/>
      <c r="F57" s="505"/>
      <c r="G57" s="505"/>
      <c r="H57" s="505"/>
      <c r="I57" s="505"/>
      <c r="J57" s="505"/>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8"/>
      <c r="AO57" s="408"/>
      <c r="AP57" s="417"/>
      <c r="AQ57" s="342"/>
    </row>
    <row r="58" spans="1:43" ht="6" customHeight="1">
      <c r="A58" s="342"/>
      <c r="C58" s="417"/>
      <c r="D58" s="426"/>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8"/>
      <c r="AO58" s="408"/>
      <c r="AP58" s="417"/>
      <c r="AQ58" s="342"/>
    </row>
    <row r="59" spans="1:43" ht="14.25" customHeight="1">
      <c r="A59" s="342"/>
      <c r="C59" s="417"/>
      <c r="D59" s="426"/>
      <c r="E59" s="419"/>
      <c r="F59" s="419"/>
      <c r="G59" s="419"/>
      <c r="H59" s="419"/>
      <c r="I59" s="419"/>
      <c r="J59" s="419"/>
      <c r="K59" s="829"/>
      <c r="L59" s="829"/>
      <c r="M59" s="829"/>
      <c r="N59" s="829"/>
      <c r="O59" s="829"/>
      <c r="P59" s="829"/>
      <c r="Q59" s="829"/>
      <c r="R59" s="829"/>
      <c r="S59" s="829"/>
      <c r="T59" s="829"/>
      <c r="U59" s="829"/>
      <c r="V59" s="829"/>
      <c r="W59" s="829"/>
      <c r="X59" s="829"/>
      <c r="Y59" s="829"/>
      <c r="Z59" s="830"/>
      <c r="AA59" s="830"/>
      <c r="AB59" s="830"/>
      <c r="AC59" s="830"/>
      <c r="AD59" s="830"/>
      <c r="AE59" s="830"/>
      <c r="AF59" s="830"/>
      <c r="AG59" s="830"/>
      <c r="AH59" s="830"/>
      <c r="AI59" s="830"/>
      <c r="AJ59" s="830"/>
      <c r="AK59" s="419"/>
      <c r="AL59" s="419"/>
      <c r="AM59" s="419"/>
      <c r="AN59" s="418"/>
      <c r="AO59" s="408"/>
      <c r="AP59" s="417"/>
      <c r="AQ59" s="342"/>
    </row>
    <row r="60" spans="1:43" ht="9" customHeight="1">
      <c r="A60" s="342"/>
      <c r="C60" s="417"/>
      <c r="D60" s="422"/>
      <c r="E60" s="505"/>
      <c r="F60" s="505"/>
      <c r="G60" s="505"/>
      <c r="H60" s="505"/>
      <c r="I60" s="505"/>
      <c r="J60" s="505"/>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8"/>
      <c r="AO60" s="408"/>
      <c r="AP60" s="417"/>
      <c r="AQ60" s="342"/>
    </row>
    <row r="61" spans="1:43" ht="9" customHeight="1">
      <c r="A61" s="342"/>
      <c r="C61" s="417"/>
      <c r="D61" s="422"/>
      <c r="E61" s="419"/>
      <c r="F61" s="482"/>
      <c r="G61" s="419"/>
      <c r="H61" s="419"/>
      <c r="I61" s="419"/>
      <c r="J61" s="419"/>
      <c r="K61" s="826"/>
      <c r="L61" s="826"/>
      <c r="M61" s="826"/>
      <c r="N61" s="826"/>
      <c r="O61" s="826"/>
      <c r="P61" s="505"/>
      <c r="Q61" s="505"/>
      <c r="R61" s="505"/>
      <c r="S61" s="505"/>
      <c r="T61" s="505"/>
      <c r="U61" s="505"/>
      <c r="V61" s="505"/>
      <c r="W61" s="505"/>
      <c r="X61" s="505"/>
      <c r="Y61" s="505"/>
      <c r="Z61" s="419"/>
      <c r="AA61" s="419"/>
      <c r="AB61" s="419"/>
      <c r="AC61" s="419"/>
      <c r="AD61" s="419"/>
      <c r="AE61" s="419"/>
      <c r="AF61" s="419"/>
      <c r="AG61" s="419"/>
      <c r="AH61" s="419"/>
      <c r="AI61" s="419"/>
      <c r="AJ61" s="419"/>
      <c r="AK61" s="419"/>
      <c r="AL61" s="419"/>
      <c r="AM61" s="419"/>
      <c r="AN61" s="418"/>
      <c r="AO61" s="408"/>
      <c r="AP61" s="417"/>
      <c r="AQ61" s="342"/>
    </row>
    <row r="62" spans="1:43" ht="14.25" customHeight="1">
      <c r="A62" s="342"/>
      <c r="C62" s="417"/>
      <c r="D62" s="422"/>
      <c r="E62" s="482"/>
      <c r="F62" s="482"/>
      <c r="G62" s="482"/>
      <c r="H62" s="482"/>
      <c r="I62" s="482"/>
      <c r="J62" s="482"/>
      <c r="K62" s="482"/>
      <c r="L62" s="482"/>
      <c r="M62" s="482"/>
      <c r="N62" s="482"/>
      <c r="O62" s="482"/>
      <c r="P62" s="482"/>
      <c r="Q62" s="482"/>
      <c r="R62" s="827"/>
      <c r="S62" s="827"/>
      <c r="T62" s="827"/>
      <c r="U62" s="827"/>
      <c r="V62" s="827"/>
      <c r="W62" s="827"/>
      <c r="X62" s="827"/>
      <c r="Y62" s="419"/>
      <c r="Z62" s="419"/>
      <c r="AA62" s="419"/>
      <c r="AB62" s="419"/>
      <c r="AC62" s="419"/>
      <c r="AD62" s="419"/>
      <c r="AE62" s="419"/>
      <c r="AF62" s="419"/>
      <c r="AG62" s="419"/>
      <c r="AH62" s="419"/>
      <c r="AI62" s="419"/>
      <c r="AJ62" s="419"/>
      <c r="AK62" s="419"/>
      <c r="AL62" s="419"/>
      <c r="AM62" s="419"/>
      <c r="AN62" s="418"/>
      <c r="AO62" s="408"/>
      <c r="AP62" s="417"/>
      <c r="AQ62" s="342"/>
    </row>
    <row r="63" spans="1:43" ht="9" customHeight="1">
      <c r="A63" s="342"/>
      <c r="C63" s="417"/>
      <c r="D63" s="422"/>
      <c r="E63" s="419"/>
      <c r="F63" s="419"/>
      <c r="G63" s="419"/>
      <c r="H63" s="419"/>
      <c r="I63" s="419"/>
      <c r="J63" s="419"/>
      <c r="K63" s="419"/>
      <c r="L63" s="419"/>
      <c r="M63" s="419"/>
      <c r="N63" s="419"/>
      <c r="O63" s="419"/>
      <c r="P63" s="419"/>
      <c r="Q63" s="419"/>
      <c r="R63" s="827"/>
      <c r="S63" s="827"/>
      <c r="T63" s="827"/>
      <c r="U63" s="827"/>
      <c r="V63" s="827"/>
      <c r="W63" s="419"/>
      <c r="X63" s="419"/>
      <c r="Y63" s="419"/>
      <c r="Z63" s="419"/>
      <c r="AA63" s="419"/>
      <c r="AB63" s="419"/>
      <c r="AC63" s="419"/>
      <c r="AD63" s="419"/>
      <c r="AE63" s="419"/>
      <c r="AF63" s="419"/>
      <c r="AG63" s="419"/>
      <c r="AH63" s="419"/>
      <c r="AI63" s="419"/>
      <c r="AJ63" s="419"/>
      <c r="AK63" s="419"/>
      <c r="AL63" s="419"/>
      <c r="AM63" s="419"/>
      <c r="AN63" s="418"/>
      <c r="AO63" s="408"/>
      <c r="AP63" s="417"/>
      <c r="AQ63" s="342"/>
    </row>
    <row r="64" spans="1:43" ht="14.25" customHeight="1">
      <c r="A64" s="342"/>
      <c r="C64" s="417"/>
      <c r="D64" s="426" t="str">
        <f>IF(OR(Output_config_2=4,Output_config_2=5),"(68)","")</f>
        <v/>
      </c>
      <c r="E64" s="419"/>
      <c r="F64" s="419"/>
      <c r="G64" s="419"/>
      <c r="H64" s="419"/>
      <c r="I64" s="419"/>
      <c r="J64" s="419"/>
      <c r="K64" s="419"/>
      <c r="L64" s="829"/>
      <c r="M64" s="829"/>
      <c r="N64" s="829"/>
      <c r="O64" s="829"/>
      <c r="P64" s="419"/>
      <c r="Q64" s="419"/>
      <c r="R64" s="827"/>
      <c r="S64" s="419"/>
      <c r="T64" s="419"/>
      <c r="U64" s="419"/>
      <c r="V64" s="419"/>
      <c r="W64" s="419"/>
      <c r="X64" s="419"/>
      <c r="Y64" s="419"/>
      <c r="Z64" s="419"/>
      <c r="AA64" s="419"/>
      <c r="AB64" s="419"/>
      <c r="AC64" s="419"/>
      <c r="AD64" s="419"/>
      <c r="AE64" s="419"/>
      <c r="AF64" s="419"/>
      <c r="AG64" s="832"/>
      <c r="AH64" s="419"/>
      <c r="AI64" s="419"/>
      <c r="AJ64" s="419"/>
      <c r="AK64" s="419"/>
      <c r="AL64" s="419"/>
      <c r="AM64" s="419"/>
      <c r="AN64" s="418"/>
      <c r="AO64" s="408"/>
      <c r="AP64" s="417"/>
      <c r="AQ64" s="342"/>
    </row>
    <row r="65" spans="1:43" ht="9" customHeight="1">
      <c r="A65" s="342"/>
      <c r="C65" s="417"/>
      <c r="D65" s="422"/>
      <c r="E65" s="419"/>
      <c r="F65" s="419"/>
      <c r="G65" s="419"/>
      <c r="H65" s="419"/>
      <c r="I65" s="419"/>
      <c r="J65" s="419"/>
      <c r="K65" s="419"/>
      <c r="L65" s="419"/>
      <c r="M65" s="419"/>
      <c r="N65" s="419"/>
      <c r="O65" s="419"/>
      <c r="P65" s="419"/>
      <c r="Q65" s="419"/>
      <c r="R65" s="827"/>
      <c r="S65" s="827"/>
      <c r="T65" s="827"/>
      <c r="U65" s="827"/>
      <c r="V65" s="827"/>
      <c r="W65" s="419"/>
      <c r="X65" s="419"/>
      <c r="Y65" s="419"/>
      <c r="Z65" s="419"/>
      <c r="AA65" s="419"/>
      <c r="AB65" s="419"/>
      <c r="AC65" s="419"/>
      <c r="AD65" s="419"/>
      <c r="AE65" s="419"/>
      <c r="AF65" s="419"/>
      <c r="AG65" s="832"/>
      <c r="AH65" s="419"/>
      <c r="AI65" s="419"/>
      <c r="AJ65" s="419"/>
      <c r="AK65" s="419"/>
      <c r="AL65" s="419"/>
      <c r="AM65" s="419"/>
      <c r="AN65" s="418"/>
      <c r="AO65" s="408"/>
      <c r="AP65" s="417"/>
      <c r="AQ65" s="342"/>
    </row>
    <row r="66" spans="1:43" ht="14.25" customHeight="1">
      <c r="A66" s="342"/>
      <c r="C66" s="417"/>
      <c r="D66" s="426" t="str">
        <f>IF(OR(Output_config_2=4,Output_config_2=5,Output_config_2=7),"(70)","")</f>
        <v/>
      </c>
      <c r="E66" s="419"/>
      <c r="F66" s="419"/>
      <c r="G66" s="419"/>
      <c r="H66" s="419"/>
      <c r="I66" s="419"/>
      <c r="J66" s="419"/>
      <c r="K66" s="419"/>
      <c r="L66" s="830"/>
      <c r="M66" s="830"/>
      <c r="N66" s="830"/>
      <c r="O66" s="830"/>
      <c r="P66" s="419"/>
      <c r="Q66" s="419"/>
      <c r="R66" s="827"/>
      <c r="S66" s="827"/>
      <c r="T66" s="827"/>
      <c r="U66" s="827"/>
      <c r="V66" s="827"/>
      <c r="W66" s="419"/>
      <c r="X66" s="419"/>
      <c r="Y66" s="419"/>
      <c r="Z66" s="419"/>
      <c r="AA66" s="419"/>
      <c r="AB66" s="419"/>
      <c r="AC66" s="419"/>
      <c r="AD66" s="419"/>
      <c r="AE66" s="419"/>
      <c r="AF66" s="419"/>
      <c r="AG66" s="832"/>
      <c r="AH66" s="419"/>
      <c r="AI66" s="419"/>
      <c r="AJ66" s="419"/>
      <c r="AK66" s="419"/>
      <c r="AL66" s="419"/>
      <c r="AM66" s="419"/>
      <c r="AN66" s="418"/>
      <c r="AO66" s="408"/>
      <c r="AP66" s="417"/>
      <c r="AQ66" s="342"/>
    </row>
    <row r="67" spans="1:43" ht="15" customHeight="1">
      <c r="A67" s="342"/>
      <c r="C67" s="417"/>
      <c r="D67" s="422"/>
      <c r="E67" s="419"/>
      <c r="F67" s="419"/>
      <c r="G67" s="419"/>
      <c r="H67" s="419"/>
      <c r="I67" s="419"/>
      <c r="J67" s="419"/>
      <c r="K67" s="419"/>
      <c r="L67" s="419"/>
      <c r="M67" s="419"/>
      <c r="N67" s="419"/>
      <c r="O67" s="419"/>
      <c r="P67" s="419"/>
      <c r="Q67" s="419"/>
      <c r="R67" s="827"/>
      <c r="S67" s="827"/>
      <c r="T67" s="827"/>
      <c r="U67" s="827"/>
      <c r="V67" s="827"/>
      <c r="W67" s="419"/>
      <c r="X67" s="419"/>
      <c r="Y67" s="419"/>
      <c r="Z67" s="419"/>
      <c r="AA67" s="419"/>
      <c r="AB67" s="419"/>
      <c r="AC67" s="419"/>
      <c r="AD67" s="419"/>
      <c r="AE67" s="419"/>
      <c r="AF67" s="419"/>
      <c r="AG67" s="832"/>
      <c r="AH67" s="419"/>
      <c r="AI67" s="419"/>
      <c r="AJ67" s="419"/>
      <c r="AK67" s="419"/>
      <c r="AL67" s="419"/>
      <c r="AM67" s="419"/>
      <c r="AN67" s="418"/>
      <c r="AO67" s="408"/>
      <c r="AP67" s="417"/>
      <c r="AQ67" s="342"/>
    </row>
    <row r="68" spans="1:43" ht="14.25" customHeight="1">
      <c r="A68" s="342"/>
      <c r="C68" s="417"/>
      <c r="D68" s="426" t="str">
        <f>IF(OR(Output_config_2=4,Output_config_2=5,Output_config_2=7),"(69)","")</f>
        <v/>
      </c>
      <c r="E68" s="419"/>
      <c r="F68" s="419"/>
      <c r="G68" s="419"/>
      <c r="H68" s="419"/>
      <c r="I68" s="419"/>
      <c r="J68" s="419"/>
      <c r="K68" s="419"/>
      <c r="L68" s="830"/>
      <c r="M68" s="830"/>
      <c r="N68" s="830"/>
      <c r="O68" s="830"/>
      <c r="P68" s="419"/>
      <c r="Q68" s="419"/>
      <c r="R68" s="827"/>
      <c r="S68" s="827"/>
      <c r="T68" s="827"/>
      <c r="U68" s="827"/>
      <c r="V68" s="827"/>
      <c r="W68" s="419"/>
      <c r="X68" s="419"/>
      <c r="Y68" s="419"/>
      <c r="Z68" s="419"/>
      <c r="AA68" s="419"/>
      <c r="AB68" s="419"/>
      <c r="AC68" s="419"/>
      <c r="AD68" s="419"/>
      <c r="AE68" s="419"/>
      <c r="AF68" s="419"/>
      <c r="AG68" s="832"/>
      <c r="AH68" s="419"/>
      <c r="AI68" s="419"/>
      <c r="AJ68" s="419"/>
      <c r="AK68" s="419"/>
      <c r="AL68" s="419"/>
      <c r="AM68" s="419"/>
      <c r="AN68" s="418"/>
      <c r="AO68" s="408"/>
      <c r="AP68" s="417"/>
      <c r="AQ68" s="342"/>
    </row>
    <row r="69" spans="1:43" ht="9" customHeight="1">
      <c r="A69" s="342"/>
      <c r="C69" s="417"/>
      <c r="D69" s="422"/>
      <c r="E69" s="419"/>
      <c r="F69" s="419"/>
      <c r="G69" s="419"/>
      <c r="H69" s="419"/>
      <c r="I69" s="419"/>
      <c r="J69" s="419"/>
      <c r="K69" s="419"/>
      <c r="L69" s="419"/>
      <c r="M69" s="419"/>
      <c r="N69" s="419"/>
      <c r="O69" s="419"/>
      <c r="P69" s="419"/>
      <c r="Q69" s="419"/>
      <c r="R69" s="827"/>
      <c r="S69" s="827"/>
      <c r="T69" s="827"/>
      <c r="U69" s="827"/>
      <c r="V69" s="827"/>
      <c r="W69" s="419"/>
      <c r="X69" s="419"/>
      <c r="Y69" s="419"/>
      <c r="Z69" s="419"/>
      <c r="AA69" s="419"/>
      <c r="AB69" s="419"/>
      <c r="AC69" s="419"/>
      <c r="AD69" s="419"/>
      <c r="AE69" s="419"/>
      <c r="AF69" s="419"/>
      <c r="AG69" s="832"/>
      <c r="AH69" s="419"/>
      <c r="AI69" s="419"/>
      <c r="AJ69" s="419"/>
      <c r="AK69" s="419"/>
      <c r="AL69" s="419"/>
      <c r="AM69" s="419"/>
      <c r="AN69" s="418"/>
      <c r="AO69" s="408"/>
      <c r="AP69" s="417"/>
      <c r="AQ69" s="342"/>
    </row>
    <row r="70" spans="1:43" ht="14.25" customHeight="1">
      <c r="A70" s="342"/>
      <c r="C70" s="417"/>
      <c r="D70" s="426" t="str">
        <f>IF(OR(Output_config_2=4,Output_config_2=5,Output_config_2=7),"(71)","")</f>
        <v/>
      </c>
      <c r="E70" s="419"/>
      <c r="F70" s="419"/>
      <c r="G70" s="419"/>
      <c r="H70" s="419"/>
      <c r="I70" s="419"/>
      <c r="J70" s="419"/>
      <c r="K70" s="419"/>
      <c r="L70" s="830"/>
      <c r="M70" s="830"/>
      <c r="N70" s="830"/>
      <c r="O70" s="830"/>
      <c r="P70" s="419"/>
      <c r="Q70" s="419"/>
      <c r="R70" s="419"/>
      <c r="S70" s="419"/>
      <c r="T70" s="419"/>
      <c r="U70" s="419"/>
      <c r="V70" s="419"/>
      <c r="W70" s="419"/>
      <c r="X70" s="832"/>
      <c r="Y70" s="832"/>
      <c r="Z70" s="832"/>
      <c r="AA70" s="832"/>
      <c r="AB70" s="832"/>
      <c r="AC70" s="832"/>
      <c r="AD70" s="832"/>
      <c r="AE70" s="832"/>
      <c r="AF70" s="832"/>
      <c r="AG70" s="832"/>
      <c r="AH70" s="419"/>
      <c r="AI70" s="419"/>
      <c r="AJ70" s="419"/>
      <c r="AK70" s="419"/>
      <c r="AL70" s="419"/>
      <c r="AM70" s="419"/>
      <c r="AN70" s="418"/>
      <c r="AO70" s="408"/>
      <c r="AP70" s="417"/>
      <c r="AQ70" s="342"/>
    </row>
    <row r="71" spans="1:43" ht="9" customHeight="1">
      <c r="A71" s="342"/>
      <c r="C71" s="424"/>
      <c r="D71" s="483"/>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5"/>
      <c r="AP71" s="418"/>
      <c r="AQ71" s="342"/>
    </row>
    <row r="72" spans="1:43" ht="9" customHeight="1">
      <c r="A72" s="342"/>
      <c r="C72" s="418"/>
      <c r="D72" s="397"/>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42"/>
    </row>
    <row r="73" spans="1:43" s="348" customFormat="1" ht="9" customHeight="1">
      <c r="A73" s="343"/>
      <c r="B73" s="345"/>
      <c r="C73" s="415"/>
      <c r="D73" s="416"/>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5"/>
      <c r="AP73" s="396"/>
      <c r="AQ73" s="343"/>
    </row>
    <row r="74" spans="1:43" ht="14.25" customHeight="1">
      <c r="A74" s="342"/>
      <c r="C74" s="417"/>
      <c r="D74" s="422"/>
      <c r="E74" s="492" t="str">
        <f ca="1">language!A313</f>
        <v>Специальные требования</v>
      </c>
      <c r="F74" s="492"/>
      <c r="G74" s="492"/>
      <c r="H74" s="492"/>
      <c r="I74" s="492"/>
      <c r="J74" s="492"/>
      <c r="K74" s="492"/>
      <c r="L74" s="492"/>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08"/>
      <c r="AP74" s="396"/>
      <c r="AQ74" s="342"/>
    </row>
    <row r="75" spans="1:43" s="363" customFormat="1" ht="14.25" customHeight="1">
      <c r="A75" s="361"/>
      <c r="B75" s="362"/>
      <c r="C75" s="417"/>
      <c r="D75" s="422"/>
      <c r="E75" s="663"/>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4"/>
      <c r="AL75" s="664"/>
      <c r="AM75" s="664"/>
      <c r="AN75" s="665"/>
      <c r="AO75" s="408"/>
      <c r="AP75" s="396"/>
      <c r="AQ75" s="361"/>
    </row>
    <row r="76" spans="1:43" s="362" customFormat="1" ht="14.25" customHeight="1">
      <c r="A76" s="364"/>
      <c r="C76" s="417"/>
      <c r="D76" s="422"/>
      <c r="E76" s="651"/>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2"/>
      <c r="AL76" s="652"/>
      <c r="AM76" s="652"/>
      <c r="AN76" s="653"/>
      <c r="AO76" s="408"/>
      <c r="AP76" s="396"/>
      <c r="AQ76" s="364"/>
    </row>
    <row r="77" spans="1:43" s="363" customFormat="1" ht="14.25" customHeight="1">
      <c r="A77" s="361"/>
      <c r="B77" s="362"/>
      <c r="C77" s="417"/>
      <c r="D77" s="422"/>
      <c r="E77" s="651"/>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c r="AL77" s="652"/>
      <c r="AM77" s="652"/>
      <c r="AN77" s="653"/>
      <c r="AO77" s="408"/>
      <c r="AP77" s="396"/>
      <c r="AQ77" s="361"/>
    </row>
    <row r="78" spans="1:43" s="362" customFormat="1" ht="14.25" customHeight="1">
      <c r="A78" s="364"/>
      <c r="C78" s="417"/>
      <c r="D78" s="422"/>
      <c r="E78" s="651"/>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3"/>
      <c r="AO78" s="408"/>
      <c r="AP78" s="396"/>
      <c r="AQ78" s="364"/>
    </row>
    <row r="79" spans="1:43" s="362" customFormat="1" ht="14.25" customHeight="1">
      <c r="A79" s="364"/>
      <c r="C79" s="417"/>
      <c r="D79" s="422"/>
      <c r="E79" s="651"/>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3"/>
      <c r="AO79" s="408"/>
      <c r="AP79" s="396"/>
      <c r="AQ79" s="364"/>
    </row>
    <row r="80" spans="1:43" s="362" customFormat="1" ht="14.25" customHeight="1">
      <c r="A80" s="364"/>
      <c r="C80" s="417"/>
      <c r="D80" s="422"/>
      <c r="E80" s="656"/>
      <c r="F80" s="657"/>
      <c r="G80" s="657"/>
      <c r="H80" s="657"/>
      <c r="I80" s="657"/>
      <c r="J80" s="657"/>
      <c r="K80" s="657"/>
      <c r="L80" s="657"/>
      <c r="M80" s="657"/>
      <c r="N80" s="657"/>
      <c r="O80" s="657"/>
      <c r="P80" s="657"/>
      <c r="Q80" s="657"/>
      <c r="R80" s="657"/>
      <c r="S80" s="657"/>
      <c r="T80" s="657"/>
      <c r="U80" s="657"/>
      <c r="V80" s="657"/>
      <c r="W80" s="657"/>
      <c r="X80" s="657"/>
      <c r="Y80" s="657"/>
      <c r="Z80" s="657"/>
      <c r="AA80" s="657"/>
      <c r="AB80" s="657"/>
      <c r="AC80" s="657"/>
      <c r="AD80" s="657"/>
      <c r="AE80" s="657"/>
      <c r="AF80" s="657"/>
      <c r="AG80" s="657"/>
      <c r="AH80" s="657"/>
      <c r="AI80" s="657"/>
      <c r="AJ80" s="657"/>
      <c r="AK80" s="657"/>
      <c r="AL80" s="657"/>
      <c r="AM80" s="657"/>
      <c r="AN80" s="658"/>
      <c r="AO80" s="408"/>
      <c r="AP80" s="396"/>
      <c r="AQ80" s="364"/>
    </row>
    <row r="81" spans="1:43" ht="9" customHeight="1">
      <c r="A81" s="342"/>
      <c r="C81" s="424"/>
      <c r="D81" s="425"/>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4"/>
      <c r="AP81" s="396"/>
      <c r="AQ81" s="342"/>
    </row>
    <row r="82" spans="1:43" ht="9" customHeight="1">
      <c r="A82" s="342"/>
      <c r="C82" s="418"/>
      <c r="D82" s="397"/>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42"/>
    </row>
    <row r="83" spans="1:43" ht="9" customHeight="1">
      <c r="A83" s="342"/>
      <c r="C83" s="415"/>
      <c r="D83" s="416"/>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5"/>
      <c r="AP83" s="396"/>
      <c r="AQ83" s="342"/>
    </row>
    <row r="84" spans="1:43" ht="12" customHeight="1">
      <c r="A84" s="342"/>
      <c r="C84" s="417"/>
      <c r="D84" s="422"/>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08"/>
      <c r="AP84" s="396"/>
      <c r="AQ84" s="342"/>
    </row>
    <row r="85" spans="1:43" ht="15" customHeight="1">
      <c r="A85" s="342"/>
      <c r="C85" s="417"/>
      <c r="D85" s="422"/>
      <c r="E85" s="659"/>
      <c r="F85" s="659"/>
      <c r="G85" s="659"/>
      <c r="H85" s="659"/>
      <c r="I85" s="659"/>
      <c r="J85" s="659"/>
      <c r="K85" s="659"/>
      <c r="L85" s="659"/>
      <c r="M85" s="659"/>
      <c r="N85" s="659"/>
      <c r="O85" s="659"/>
      <c r="P85" s="659"/>
      <c r="Q85" s="418"/>
      <c r="R85" s="418"/>
      <c r="S85" s="418"/>
      <c r="T85" s="418"/>
      <c r="U85" s="418"/>
      <c r="V85" s="418"/>
      <c r="W85" s="418"/>
      <c r="X85" s="659"/>
      <c r="Y85" s="659"/>
      <c r="Z85" s="659"/>
      <c r="AA85" s="659"/>
      <c r="AB85" s="659"/>
      <c r="AC85" s="659"/>
      <c r="AD85" s="659"/>
      <c r="AE85" s="659"/>
      <c r="AF85" s="659"/>
      <c r="AG85" s="659"/>
      <c r="AH85" s="659"/>
      <c r="AI85" s="659"/>
      <c r="AJ85" s="418"/>
      <c r="AK85" s="418"/>
      <c r="AL85" s="418"/>
      <c r="AM85" s="418"/>
      <c r="AN85" s="418"/>
      <c r="AO85" s="408"/>
      <c r="AP85" s="396"/>
      <c r="AQ85" s="342"/>
    </row>
    <row r="86" spans="1:43" s="348" customFormat="1" ht="14.25" customHeight="1">
      <c r="A86" s="343"/>
      <c r="B86" s="345"/>
      <c r="C86" s="417"/>
      <c r="D86" s="422"/>
      <c r="E86" s="660" t="str">
        <f ca="1">language!A314</f>
        <v>Дата</v>
      </c>
      <c r="F86" s="660"/>
      <c r="G86" s="660"/>
      <c r="H86" s="660"/>
      <c r="I86" s="660"/>
      <c r="J86" s="660"/>
      <c r="K86" s="660"/>
      <c r="L86" s="660"/>
      <c r="M86" s="660"/>
      <c r="N86" s="660"/>
      <c r="O86" s="660"/>
      <c r="P86" s="660"/>
      <c r="Q86" s="418"/>
      <c r="R86" s="418"/>
      <c r="S86" s="418"/>
      <c r="T86" s="418"/>
      <c r="U86" s="418"/>
      <c r="V86" s="418"/>
      <c r="W86" s="418"/>
      <c r="X86" s="660" t="str">
        <f ca="1">language!A315</f>
        <v>Заказчик</v>
      </c>
      <c r="Y86" s="660"/>
      <c r="Z86" s="660"/>
      <c r="AA86" s="660"/>
      <c r="AB86" s="660"/>
      <c r="AC86" s="660"/>
      <c r="AD86" s="660"/>
      <c r="AE86" s="660"/>
      <c r="AF86" s="660"/>
      <c r="AG86" s="660"/>
      <c r="AH86" s="660"/>
      <c r="AI86" s="660"/>
      <c r="AJ86" s="419"/>
      <c r="AK86" s="419"/>
      <c r="AL86" s="419"/>
      <c r="AM86" s="419"/>
      <c r="AN86" s="418"/>
      <c r="AO86" s="408"/>
      <c r="AP86" s="396"/>
      <c r="AQ86" s="343"/>
    </row>
    <row r="87" spans="1:43" ht="6.75" customHeight="1">
      <c r="A87" s="342"/>
      <c r="C87" s="424"/>
      <c r="D87" s="425"/>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4"/>
      <c r="AP87" s="396"/>
      <c r="AQ87" s="342"/>
    </row>
    <row r="88" spans="1:43" ht="9" customHeight="1">
      <c r="A88" s="342"/>
      <c r="C88" s="418"/>
      <c r="D88" s="422"/>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396"/>
      <c r="AQ88" s="342"/>
    </row>
    <row r="89" spans="1:43" ht="9" customHeight="1">
      <c r="A89" s="342"/>
      <c r="C89" s="429"/>
      <c r="D89" s="436"/>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71"/>
      <c r="AK89" s="471"/>
      <c r="AL89" s="418"/>
      <c r="AM89" s="418"/>
      <c r="AN89" s="418"/>
      <c r="AO89" s="418"/>
      <c r="AP89" s="488"/>
      <c r="AQ89" s="342"/>
    </row>
    <row r="90" spans="1:43" ht="23.25" customHeight="1">
      <c r="A90" s="342"/>
      <c r="C90" s="429"/>
      <c r="D90" s="661"/>
      <c r="E90" s="661"/>
      <c r="F90" s="661"/>
      <c r="G90" s="661"/>
      <c r="H90" s="661"/>
      <c r="I90" s="661"/>
      <c r="J90" s="661"/>
      <c r="K90" s="661"/>
      <c r="L90" s="661"/>
      <c r="M90" s="661"/>
      <c r="N90" s="661"/>
      <c r="O90" s="661"/>
      <c r="P90" s="661"/>
      <c r="Q90" s="661"/>
      <c r="R90" s="661"/>
      <c r="S90" s="661"/>
      <c r="T90" s="661"/>
      <c r="U90" s="661"/>
      <c r="V90" s="661"/>
      <c r="W90" s="661"/>
      <c r="X90" s="661"/>
      <c r="Y90" s="661"/>
      <c r="Z90" s="661"/>
      <c r="AA90" s="661"/>
      <c r="AB90" s="661"/>
      <c r="AC90" s="661"/>
      <c r="AD90" s="661"/>
      <c r="AE90" s="661"/>
      <c r="AF90" s="661"/>
      <c r="AG90" s="661"/>
      <c r="AH90" s="661"/>
      <c r="AI90" s="661"/>
      <c r="AJ90" s="487"/>
      <c r="AK90" s="488"/>
      <c r="AL90" s="650"/>
      <c r="AM90" s="650"/>
      <c r="AN90" s="650"/>
      <c r="AO90" s="650"/>
      <c r="AP90" s="488"/>
      <c r="AQ90" s="342"/>
    </row>
    <row r="91" spans="1:43" ht="23.25" customHeight="1">
      <c r="A91" s="342"/>
      <c r="C91" s="429"/>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1"/>
      <c r="AC91" s="661"/>
      <c r="AD91" s="661"/>
      <c r="AE91" s="661"/>
      <c r="AF91" s="661"/>
      <c r="AG91" s="661"/>
      <c r="AH91" s="661"/>
      <c r="AI91" s="661"/>
      <c r="AJ91" s="487"/>
      <c r="AK91" s="488"/>
      <c r="AL91" s="650"/>
      <c r="AM91" s="650"/>
      <c r="AN91" s="650"/>
      <c r="AO91" s="650"/>
      <c r="AP91" s="488"/>
      <c r="AQ91" s="342"/>
    </row>
    <row r="92" spans="1:43" ht="9" customHeight="1">
      <c r="A92" s="342"/>
      <c r="C92" s="429"/>
      <c r="D92" s="486"/>
      <c r="E92" s="429"/>
      <c r="F92" s="429"/>
      <c r="G92" s="429"/>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71"/>
      <c r="AK92" s="493">
        <v>1</v>
      </c>
      <c r="AL92" s="418"/>
      <c r="AM92" s="418"/>
      <c r="AN92" s="418"/>
      <c r="AO92" s="418"/>
      <c r="AP92" s="488"/>
      <c r="AQ92" s="342"/>
    </row>
    <row r="93" spans="1:43" ht="9" customHeight="1">
      <c r="A93" s="342"/>
      <c r="C93" s="418"/>
      <c r="D93" s="422"/>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396"/>
      <c r="AP93" s="396"/>
      <c r="AQ93" s="342"/>
    </row>
    <row r="94" spans="1:43">
      <c r="A94" s="342"/>
      <c r="C94" s="508" t="str">
        <f ca="1">'Page1|Страница 1'!$C$89</f>
        <v>ООО "НПП КуйбышевТелеком-Метрология"</v>
      </c>
      <c r="D94" s="508"/>
      <c r="E94" s="508"/>
      <c r="F94" s="508"/>
      <c r="G94" s="508"/>
      <c r="H94" s="508"/>
      <c r="I94" s="508"/>
      <c r="J94" s="508"/>
      <c r="K94" s="508"/>
      <c r="L94" s="508"/>
      <c r="M94" s="508"/>
      <c r="N94" s="508"/>
      <c r="O94" s="508"/>
      <c r="P94" s="508"/>
      <c r="Q94" s="508"/>
      <c r="R94" s="508"/>
      <c r="S94" s="508"/>
      <c r="T94" s="508"/>
      <c r="U94" s="508"/>
      <c r="V94" s="508"/>
      <c r="W94" s="508"/>
      <c r="X94" s="418"/>
      <c r="Y94" s="418"/>
      <c r="Z94" s="418"/>
      <c r="AA94" s="418"/>
      <c r="AB94" s="418"/>
      <c r="AC94" s="418"/>
      <c r="AD94" s="418"/>
      <c r="AE94" s="418"/>
      <c r="AF94" s="418"/>
      <c r="AG94" s="418"/>
      <c r="AH94" s="418"/>
      <c r="AI94" s="418"/>
      <c r="AJ94" s="418"/>
      <c r="AK94" s="418"/>
      <c r="AL94" s="418"/>
      <c r="AM94" s="418"/>
      <c r="AN94" s="418"/>
      <c r="AO94" s="396"/>
      <c r="AP94" s="396"/>
      <c r="AQ94" s="342"/>
    </row>
    <row r="95" spans="1:43">
      <c r="A95" s="342"/>
      <c r="C95" s="508" t="str">
        <f ca="1">'Page1|Страница 1'!$C$90</f>
        <v>443052, РФ, г.о. Самара, ул. Земеца 26Б, оф 413</v>
      </c>
      <c r="D95" s="508"/>
      <c r="E95" s="508"/>
      <c r="F95" s="508"/>
      <c r="G95" s="508"/>
      <c r="H95" s="508"/>
      <c r="I95" s="508"/>
      <c r="J95" s="508"/>
      <c r="K95" s="508"/>
      <c r="L95" s="508"/>
      <c r="M95" s="508"/>
      <c r="N95" s="508"/>
      <c r="O95" s="508"/>
      <c r="P95" s="508"/>
      <c r="Q95" s="508"/>
      <c r="R95" s="508"/>
      <c r="S95" s="508"/>
      <c r="T95" s="508"/>
      <c r="U95" s="508"/>
      <c r="V95" s="508"/>
      <c r="W95" s="508"/>
      <c r="X95" s="418"/>
      <c r="Y95" s="418"/>
      <c r="Z95" s="418"/>
      <c r="AA95" s="418"/>
      <c r="AB95" s="418"/>
      <c r="AC95" s="418"/>
      <c r="AD95" s="418"/>
      <c r="AE95" s="418"/>
      <c r="AF95" s="418"/>
      <c r="AG95" s="418"/>
      <c r="AH95" s="418"/>
      <c r="AI95" s="418"/>
      <c r="AJ95" s="418"/>
      <c r="AK95" s="418"/>
      <c r="AL95" s="418"/>
      <c r="AM95" s="418"/>
      <c r="AN95" s="418"/>
      <c r="AO95" s="396"/>
      <c r="AP95" s="396"/>
      <c r="AQ95" s="342"/>
    </row>
    <row r="96" spans="1:43">
      <c r="A96" s="342"/>
      <c r="C96" s="508" t="str">
        <f ca="1">'Page1|Страница 1'!$C$91</f>
        <v>Телефон: 8(846)202-00-65 |Факс: 8(846)206-01-80 | E-mail: info@ktkprom.com</v>
      </c>
      <c r="D96" s="508"/>
      <c r="E96" s="508"/>
      <c r="F96" s="508"/>
      <c r="G96" s="508"/>
      <c r="H96" s="508"/>
      <c r="I96" s="508"/>
      <c r="J96" s="508"/>
      <c r="K96" s="508"/>
      <c r="L96" s="508"/>
      <c r="M96" s="508"/>
      <c r="N96" s="508"/>
      <c r="O96" s="508"/>
      <c r="P96" s="508"/>
      <c r="Q96" s="508"/>
      <c r="R96" s="508"/>
      <c r="S96" s="508"/>
      <c r="T96" s="508"/>
      <c r="U96" s="508"/>
      <c r="V96" s="508"/>
      <c r="W96" s="508"/>
      <c r="X96" s="508"/>
      <c r="Y96" s="508"/>
      <c r="Z96" s="508"/>
      <c r="AA96" s="508"/>
      <c r="AB96" s="508"/>
      <c r="AC96" s="508"/>
      <c r="AD96" s="418"/>
      <c r="AE96" s="418"/>
      <c r="AF96" s="418"/>
      <c r="AG96" s="418"/>
      <c r="AH96" s="418"/>
      <c r="AI96" s="418"/>
      <c r="AJ96" s="396"/>
      <c r="AK96" s="396"/>
      <c r="AL96" s="396"/>
      <c r="AM96" s="396"/>
      <c r="AN96" s="396"/>
      <c r="AO96" s="396"/>
      <c r="AP96" s="396"/>
      <c r="AQ96" s="342"/>
    </row>
    <row r="97" spans="1:43" s="354" customFormat="1" ht="12" customHeight="1">
      <c r="A97" s="353"/>
      <c r="C97" s="418"/>
      <c r="D97" s="422"/>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53"/>
    </row>
    <row r="98" spans="1:43">
      <c r="A98" s="342"/>
      <c r="C98" s="397">
        <f>'Page1|Страница 1'!C93</f>
        <v>0</v>
      </c>
      <c r="D98" s="397"/>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8"/>
      <c r="AK98" s="553" t="str">
        <f ca="1">CONCATENATE(language!A340," 3")</f>
        <v>Стр. 3</v>
      </c>
      <c r="AL98" s="553"/>
      <c r="AM98" s="553"/>
      <c r="AN98" s="553"/>
      <c r="AO98" s="553"/>
      <c r="AP98" s="396"/>
      <c r="AQ98" s="342"/>
    </row>
    <row r="99" spans="1:43" ht="9" customHeight="1">
      <c r="A99" s="342"/>
      <c r="C99" s="418"/>
      <c r="D99" s="397"/>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42"/>
    </row>
    <row r="100" spans="1:43">
      <c r="A100" s="342"/>
      <c r="B100" s="342"/>
      <c r="C100" s="343"/>
      <c r="D100" s="344"/>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row>
    <row r="101" spans="1:43" ht="14.25" customHeight="1">
      <c r="A101" s="342"/>
      <c r="B101" s="662"/>
      <c r="C101" s="662"/>
      <c r="D101" s="655" t="str">
        <f>IF(langchoose ="Deutsch",language!A365,"")</f>
        <v/>
      </c>
      <c r="E101" s="655"/>
      <c r="F101" s="655"/>
      <c r="G101" s="655"/>
      <c r="H101" s="655"/>
      <c r="I101" s="655"/>
      <c r="J101" s="655"/>
      <c r="K101" s="655"/>
      <c r="L101" s="655"/>
      <c r="M101" s="655"/>
      <c r="N101" s="655"/>
      <c r="O101" s="655"/>
      <c r="P101" s="655"/>
      <c r="Q101" s="655"/>
      <c r="R101" s="655"/>
      <c r="S101" s="655"/>
      <c r="T101" s="655"/>
      <c r="U101" s="655"/>
      <c r="V101" s="655"/>
      <c r="W101" s="655"/>
      <c r="X101" s="655"/>
      <c r="Y101" s="655"/>
      <c r="Z101" s="655"/>
      <c r="AA101" s="655"/>
      <c r="AB101" s="655"/>
      <c r="AC101" s="655"/>
      <c r="AD101" s="655"/>
      <c r="AE101" s="655"/>
      <c r="AF101" s="655"/>
      <c r="AG101" s="655"/>
      <c r="AH101" s="655"/>
      <c r="AI101" s="655"/>
      <c r="AJ101" s="655"/>
      <c r="AK101" s="655"/>
      <c r="AL101" s="655"/>
      <c r="AM101" s="655"/>
      <c r="AN101" s="655"/>
      <c r="AO101" s="655"/>
      <c r="AP101" s="655"/>
      <c r="AQ101" s="342"/>
    </row>
    <row r="102" spans="1:43">
      <c r="A102" s="342"/>
      <c r="B102" s="662"/>
      <c r="C102" s="662"/>
      <c r="D102" s="655"/>
      <c r="E102" s="655"/>
      <c r="F102" s="655"/>
      <c r="G102" s="655"/>
      <c r="H102" s="655"/>
      <c r="I102" s="655"/>
      <c r="J102" s="655"/>
      <c r="K102" s="655"/>
      <c r="L102" s="655"/>
      <c r="M102" s="655"/>
      <c r="N102" s="655"/>
      <c r="O102" s="655"/>
      <c r="P102" s="655"/>
      <c r="Q102" s="655"/>
      <c r="R102" s="655"/>
      <c r="S102" s="655"/>
      <c r="T102" s="655"/>
      <c r="U102" s="655"/>
      <c r="V102" s="655"/>
      <c r="W102" s="655"/>
      <c r="X102" s="655"/>
      <c r="Y102" s="655"/>
      <c r="Z102" s="655"/>
      <c r="AA102" s="655"/>
      <c r="AB102" s="655"/>
      <c r="AC102" s="655"/>
      <c r="AD102" s="655"/>
      <c r="AE102" s="655"/>
      <c r="AF102" s="655"/>
      <c r="AG102" s="655"/>
      <c r="AH102" s="655"/>
      <c r="AI102" s="655"/>
      <c r="AJ102" s="655"/>
      <c r="AK102" s="655"/>
      <c r="AL102" s="655"/>
      <c r="AM102" s="655"/>
      <c r="AN102" s="655"/>
      <c r="AO102" s="655"/>
      <c r="AP102" s="655"/>
      <c r="AQ102" s="342"/>
    </row>
    <row r="103" spans="1:43">
      <c r="A103" s="342"/>
      <c r="B103" s="662"/>
      <c r="C103" s="662"/>
      <c r="D103" s="655"/>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c r="AH103" s="655"/>
      <c r="AI103" s="655"/>
      <c r="AJ103" s="655"/>
      <c r="AK103" s="655"/>
      <c r="AL103" s="655"/>
      <c r="AM103" s="655"/>
      <c r="AN103" s="655"/>
      <c r="AO103" s="655"/>
      <c r="AP103" s="655"/>
      <c r="AQ103" s="342"/>
    </row>
    <row r="104" spans="1:43">
      <c r="A104" s="342"/>
      <c r="B104" s="342"/>
      <c r="C104" s="343"/>
      <c r="D104" s="344"/>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row>
    <row r="105" spans="1:43">
      <c r="A105" s="342"/>
      <c r="B105" s="342"/>
      <c r="C105" s="343"/>
      <c r="D105" s="344"/>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row>
    <row r="108" spans="1:43">
      <c r="B108" s="365" t="s">
        <v>500</v>
      </c>
      <c r="C108" s="345"/>
      <c r="AP108" s="366" t="s">
        <v>502</v>
      </c>
    </row>
    <row r="109" spans="1:43">
      <c r="A109" s="367"/>
      <c r="B109" s="346"/>
      <c r="D109" s="357"/>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row>
    <row r="110" spans="1:43">
      <c r="A110" s="346"/>
      <c r="B110" s="346"/>
      <c r="D110" s="357"/>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346"/>
    </row>
    <row r="111" spans="1:43">
      <c r="A111" s="346"/>
      <c r="B111" s="346"/>
      <c r="D111" s="357"/>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row>
    <row r="112" spans="1:43">
      <c r="A112" s="346"/>
      <c r="B112" s="346"/>
      <c r="D112" s="654"/>
      <c r="E112" s="654"/>
      <c r="F112" s="654"/>
      <c r="G112" s="654"/>
      <c r="H112" s="654"/>
      <c r="I112" s="654"/>
      <c r="J112" s="654"/>
      <c r="K112" s="654"/>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row>
    <row r="113" spans="1:43">
      <c r="A113" s="346"/>
      <c r="B113" s="346"/>
      <c r="D113" s="357"/>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row>
    <row r="114" spans="1:43">
      <c r="A114" s="346"/>
      <c r="B114" s="346"/>
      <c r="D114" s="357"/>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row>
    <row r="115" spans="1:43">
      <c r="A115" s="346"/>
      <c r="B115" s="346"/>
      <c r="D115" s="357"/>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row>
    <row r="116" spans="1:43">
      <c r="A116" s="346"/>
      <c r="B116" s="346"/>
      <c r="D116" s="357"/>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row>
    <row r="117" spans="1:43">
      <c r="A117" s="346"/>
      <c r="B117" s="346"/>
      <c r="D117" s="357"/>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6"/>
      <c r="AM117" s="346"/>
      <c r="AN117" s="346"/>
      <c r="AO117" s="346"/>
      <c r="AP117" s="346"/>
      <c r="AQ117" s="346"/>
    </row>
    <row r="118" spans="1:43">
      <c r="A118" s="346"/>
      <c r="B118" s="346"/>
      <c r="D118" s="357"/>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346"/>
    </row>
    <row r="119" spans="1:43">
      <c r="A119" s="346"/>
      <c r="B119" s="346"/>
      <c r="D119" s="357"/>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row>
    <row r="120" spans="1:43">
      <c r="A120" s="346"/>
      <c r="B120" s="346"/>
      <c r="D120" s="357"/>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row>
    <row r="121" spans="1:43">
      <c r="A121" s="346"/>
      <c r="B121" s="346"/>
      <c r="D121" s="357"/>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row>
    <row r="122" spans="1:43">
      <c r="A122" s="346"/>
      <c r="B122" s="346"/>
      <c r="D122" s="357"/>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row>
    <row r="123" spans="1:43">
      <c r="A123" s="346"/>
      <c r="B123" s="346"/>
      <c r="D123" s="357"/>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row>
    <row r="124" spans="1:43">
      <c r="A124" s="346"/>
      <c r="B124" s="346"/>
      <c r="D124" s="357"/>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row>
    <row r="125" spans="1:43">
      <c r="A125" s="346"/>
      <c r="B125" s="346"/>
      <c r="D125" s="357"/>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row>
    <row r="126" spans="1:43">
      <c r="A126" s="346"/>
      <c r="B126" s="346"/>
      <c r="D126" s="357"/>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row>
    <row r="127" spans="1:43">
      <c r="A127" s="346"/>
      <c r="B127" s="346"/>
      <c r="D127" s="357"/>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row>
    <row r="128" spans="1:43">
      <c r="A128" s="346"/>
      <c r="B128" s="346"/>
      <c r="D128" s="357"/>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row>
    <row r="129" spans="1:43">
      <c r="A129" s="346"/>
      <c r="B129" s="346"/>
      <c r="D129" s="357"/>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row>
    <row r="130" spans="1:43">
      <c r="A130" s="346"/>
      <c r="B130" s="346"/>
      <c r="D130" s="357"/>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row>
    <row r="131" spans="1:43">
      <c r="A131" s="346"/>
      <c r="B131" s="346"/>
      <c r="D131" s="357"/>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row>
    <row r="132" spans="1:43">
      <c r="A132" s="346"/>
      <c r="B132" s="346"/>
      <c r="D132" s="357"/>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row>
    <row r="133" spans="1:43">
      <c r="A133" s="346"/>
      <c r="B133" s="346"/>
      <c r="D133" s="357"/>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row>
  </sheetData>
  <mergeCells count="40">
    <mergeCell ref="E12:O12"/>
    <mergeCell ref="P12:AA12"/>
    <mergeCell ref="AB12:AM12"/>
    <mergeCell ref="E13:O25"/>
    <mergeCell ref="P13:AA25"/>
    <mergeCell ref="AB13:AM25"/>
    <mergeCell ref="E26:O26"/>
    <mergeCell ref="P26:AA26"/>
    <mergeCell ref="AB26:AM26"/>
    <mergeCell ref="E27:O39"/>
    <mergeCell ref="P27:AA39"/>
    <mergeCell ref="AB27:AM39"/>
    <mergeCell ref="E3:AG3"/>
    <mergeCell ref="AH3:AO5"/>
    <mergeCell ref="E4:AG4"/>
    <mergeCell ref="E5:AG5"/>
    <mergeCell ref="P8:U8"/>
    <mergeCell ref="E40:AM40"/>
    <mergeCell ref="B101:C103"/>
    <mergeCell ref="C95:W95"/>
    <mergeCell ref="E86:P86"/>
    <mergeCell ref="E75:AN75"/>
    <mergeCell ref="D112:K112"/>
    <mergeCell ref="D101:AN103"/>
    <mergeCell ref="E80:AN80"/>
    <mergeCell ref="AL91:AO91"/>
    <mergeCell ref="AO101:AP103"/>
    <mergeCell ref="AK98:AO98"/>
    <mergeCell ref="E85:P85"/>
    <mergeCell ref="X85:AI85"/>
    <mergeCell ref="AL90:AO90"/>
    <mergeCell ref="E76:AN76"/>
    <mergeCell ref="X86:AI86"/>
    <mergeCell ref="C94:W94"/>
    <mergeCell ref="D90:AI91"/>
    <mergeCell ref="E77:AN77"/>
    <mergeCell ref="E78:AN78"/>
    <mergeCell ref="E79:AN79"/>
    <mergeCell ref="C96:AC96"/>
    <mergeCell ref="E10:AM11"/>
  </mergeCells>
  <phoneticPr fontId="23" type="noConversion"/>
  <conditionalFormatting sqref="D47:D59 D64 D66 D68 D70">
    <cfRule type="expression" dxfId="106" priority="159" stopIfTrue="1">
      <formula>schalter1=2</formula>
    </cfRule>
  </conditionalFormatting>
  <conditionalFormatting sqref="D101:AN103">
    <cfRule type="expression" dxfId="105" priority="168" stopIfTrue="1">
      <formula>langchoose="Deutsch"</formula>
    </cfRule>
  </conditionalFormatting>
  <conditionalFormatting sqref="AO101:AP103">
    <cfRule type="expression" dxfId="104" priority="169" stopIfTrue="1">
      <formula>langchoose="Deutsch"</formula>
    </cfRule>
  </conditionalFormatting>
  <conditionalFormatting sqref="B101:C103">
    <cfRule type="expression" dxfId="103" priority="170" stopIfTrue="1">
      <formula>langchoose="Deutsch"</formula>
    </cfRule>
  </conditionalFormatting>
  <conditionalFormatting sqref="AL90">
    <cfRule type="expression" dxfId="102" priority="172" stopIfTrue="1">
      <formula>schalter1=1</formula>
    </cfRule>
  </conditionalFormatting>
  <conditionalFormatting sqref="AL91">
    <cfRule type="expression" dxfId="101" priority="173" stopIfTrue="1">
      <formula>schalter1=2</formula>
    </cfRule>
  </conditionalFormatting>
  <conditionalFormatting sqref="P8">
    <cfRule type="expression" dxfId="100" priority="174" stopIfTrue="1">
      <formula>farbe=1</formula>
    </cfRule>
  </conditionalFormatting>
  <conditionalFormatting sqref="K46:K60">
    <cfRule type="expression" dxfId="99" priority="175" stopIfTrue="1">
      <formula>farbe=1</formula>
    </cfRule>
  </conditionalFormatting>
  <conditionalFormatting sqref="Z52:Z57 AE52:AE57">
    <cfRule type="expression" dxfId="98" priority="179" stopIfTrue="1">
      <formula>farbe=1</formula>
    </cfRule>
  </conditionalFormatting>
  <conditionalFormatting sqref="Z46:Z48">
    <cfRule type="expression" dxfId="96" priority="483" stopIfTrue="1">
      <formula>AND(OR(Output_config_2=1,Output_config_2=2,Output_config_2=3,Output_config_2=4,Output_config_2=5,Output_config_2=7),farbe=1)</formula>
    </cfRule>
  </conditionalFormatting>
  <conditionalFormatting sqref="AE46:AE48">
    <cfRule type="expression" dxfId="95" priority="485" stopIfTrue="1">
      <formula>AND(farbe=1,OR(Output_config_2=1,Output_config_2=2,Output_config_2=3))</formula>
    </cfRule>
  </conditionalFormatting>
  <conditionalFormatting sqref="Z58:Z60 AE58:AE60">
    <cfRule type="expression" dxfId="94" priority="486" stopIfTrue="1">
      <formula>AND(Output_config_2&lt;&gt;2,Output_config_2&lt;&gt;7,Output_config_2&lt;&gt;9,Output_config_2&lt;&gt;11,farbe=1)</formula>
    </cfRule>
    <cfRule type="expression" dxfId="93" priority="487" stopIfTrue="1">
      <formula>OR(Output_config_2=2,Output_config_2=7,Output_config_2=9,Output_config_2=11)</formula>
    </cfRule>
  </conditionalFormatting>
  <conditionalFormatting sqref="P13">
    <cfRule type="expression" dxfId="85" priority="555" stopIfTrue="1">
      <formula>AND(farbe=1,$AR$12=2)</formula>
    </cfRule>
    <cfRule type="expression" dxfId="84" priority="556" stopIfTrue="1">
      <formula>AND(farbe=2,Output_config_2=2)</formula>
    </cfRule>
  </conditionalFormatting>
  <conditionalFormatting sqref="AB12">
    <cfRule type="expression" dxfId="83" priority="559" stopIfTrue="1">
      <formula>AND(farbe=1,$AR$12=4)</formula>
    </cfRule>
    <cfRule type="expression" dxfId="82" priority="560" stopIfTrue="1">
      <formula>AND(farbe=2,Output_config_2=4)</formula>
    </cfRule>
  </conditionalFormatting>
  <conditionalFormatting sqref="P12">
    <cfRule type="expression" dxfId="81" priority="563" stopIfTrue="1">
      <formula>AND(farbe=1,$AR$12=2)</formula>
    </cfRule>
    <cfRule type="expression" dxfId="80" priority="564" stopIfTrue="1">
      <formula>AND(farbe=2,Output_config_2=2)</formula>
    </cfRule>
  </conditionalFormatting>
  <conditionalFormatting sqref="AN12:AN41">
    <cfRule type="expression" dxfId="77" priority="567" stopIfTrue="1">
      <formula>IF($M$9=#REF!,1,0)</formula>
    </cfRule>
  </conditionalFormatting>
  <conditionalFormatting sqref="AB13">
    <cfRule type="expression" dxfId="63" priority="551" stopIfTrue="1">
      <formula>AND(farbe=1,$AR$12=4)</formula>
    </cfRule>
    <cfRule type="expression" dxfId="62" priority="552" stopIfTrue="1">
      <formula>AND(farbe=2,Output_config_2=4)</formula>
    </cfRule>
  </conditionalFormatting>
  <conditionalFormatting sqref="E12">
    <cfRule type="expression" dxfId="61" priority="24" stopIfTrue="1">
      <formula>AND(farbe=1,$AR$12=1)</formula>
    </cfRule>
    <cfRule type="expression" dxfId="60" priority="25" stopIfTrue="1">
      <formula>AND(farbe=2,Output_config_2=1)</formula>
    </cfRule>
  </conditionalFormatting>
  <conditionalFormatting sqref="E13">
    <cfRule type="cellIs" dxfId="59" priority="15" operator="equal">
      <formula>$P$8</formula>
    </cfRule>
    <cfRule type="expression" dxfId="58" priority="22" stopIfTrue="1">
      <formula>AND(farbe=1,$AR$12=1)</formula>
    </cfRule>
    <cfRule type="expression" dxfId="57" priority="23" stopIfTrue="1">
      <formula>AND(farbe=2,Output_config_2=1)</formula>
    </cfRule>
  </conditionalFormatting>
  <conditionalFormatting sqref="AQ18">
    <cfRule type="expression" dxfId="44" priority="14">
      <formula>"если($P$8=1)"</formula>
    </cfRule>
  </conditionalFormatting>
  <conditionalFormatting sqref="P27">
    <cfRule type="expression" dxfId="12" priority="8" stopIfTrue="1">
      <formula>AND(farbe=1,$AR$12=2)</formula>
    </cfRule>
    <cfRule type="expression" dxfId="11" priority="9" stopIfTrue="1">
      <formula>AND(farbe=2,Output_config_2=2)</formula>
    </cfRule>
  </conditionalFormatting>
  <conditionalFormatting sqref="AB26">
    <cfRule type="expression" dxfId="10" priority="10" stopIfTrue="1">
      <formula>AND(farbe=1,$AR$12=4)</formula>
    </cfRule>
    <cfRule type="expression" dxfId="9" priority="11" stopIfTrue="1">
      <formula>AND(farbe=2,Output_config_2=4)</formula>
    </cfRule>
  </conditionalFormatting>
  <conditionalFormatting sqref="P26">
    <cfRule type="expression" dxfId="8" priority="12" stopIfTrue="1">
      <formula>AND(farbe=1,$AR$12=2)</formula>
    </cfRule>
    <cfRule type="expression" dxfId="7" priority="13" stopIfTrue="1">
      <formula>AND(farbe=2,Output_config_2=2)</formula>
    </cfRule>
  </conditionalFormatting>
  <conditionalFormatting sqref="AB27">
    <cfRule type="expression" dxfId="6" priority="6" stopIfTrue="1">
      <formula>AND(farbe=1,$AR$12=4)</formula>
    </cfRule>
    <cfRule type="expression" dxfId="5" priority="7" stopIfTrue="1">
      <formula>AND(farbe=2,Output_config_2=4)</formula>
    </cfRule>
  </conditionalFormatting>
  <conditionalFormatting sqref="E26">
    <cfRule type="expression" dxfId="4" priority="4" stopIfTrue="1">
      <formula>AND(farbe=1,$AR$12=1)</formula>
    </cfRule>
    <cfRule type="expression" dxfId="3" priority="5" stopIfTrue="1">
      <formula>AND(farbe=2,Output_config_2=1)</formula>
    </cfRule>
  </conditionalFormatting>
  <conditionalFormatting sqref="E27">
    <cfRule type="cellIs" dxfId="2" priority="1" operator="equal">
      <formula>$P$8</formula>
    </cfRule>
    <cfRule type="expression" dxfId="1" priority="2" stopIfTrue="1">
      <formula>AND(farbe=1,$AR$12=1)</formula>
    </cfRule>
    <cfRule type="expression" dxfId="0" priority="3" stopIfTrue="1">
      <formula>AND(farbe=2,Output_config_2=1)</formula>
    </cfRule>
  </conditionalFormatting>
  <dataValidations xWindow="459" yWindow="481" count="1">
    <dataValidation allowBlank="1" showErrorMessage="1" sqref="E76:E80"/>
  </dataValidations>
  <pageMargins left="0.39370078740157483" right="0.39370078740157483" top="0.39370078740157483" bottom="0.39370078740157483" header="0.31496062992125984" footer="0.31496062992125984"/>
  <pageSetup paperSize="9" scale="68" orientation="portrait" r:id="rId1"/>
  <headerFooter alignWithMargins="0"/>
  <drawing r:id="rId2"/>
  <extLst>
    <ext xmlns:x14="http://schemas.microsoft.com/office/spreadsheetml/2009/9/main" uri="{CCE6A557-97BC-4b89-ADB6-D9C93CAAB3DF}">
      <x14:dataValidations xmlns:xm="http://schemas.microsoft.com/office/excel/2006/main" xWindow="459" yWindow="481" count="1">
        <x14:dataValidation type="list" allowBlank="1" showInputMessage="1" showErrorMessage="1" errorTitle="Notice / Hinweis" error="Value out of range._x000a_Значение вне диапазона._x000a_Wert außerhalb des gültigen Bereiches.">
          <x14:formula1>
            <xm:f>Data!$CV$5:$CV$9</xm:f>
          </x14:formula1>
          <xm:sqref>P8:U8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1">
    <pageSetUpPr fitToPage="1"/>
  </sheetPr>
  <dimension ref="A1:AI225"/>
  <sheetViews>
    <sheetView showGridLines="0" showRowColHeaders="0" topLeftCell="A10" zoomScale="70" zoomScaleNormal="70" workbookViewId="0">
      <selection activeCell="F44" sqref="F44"/>
    </sheetView>
  </sheetViews>
  <sheetFormatPr defaultColWidth="11.42578125" defaultRowHeight="12.75"/>
  <cols>
    <col min="1" max="1" width="2.7109375" style="80" customWidth="1"/>
    <col min="2" max="2" width="6.7109375" style="161" customWidth="1"/>
    <col min="3" max="3" width="36.7109375" style="84" customWidth="1"/>
    <col min="4" max="4" width="10.42578125" style="84" customWidth="1"/>
    <col min="5" max="5" width="12.85546875" style="84" customWidth="1"/>
    <col min="6" max="6" width="12.7109375" style="84" customWidth="1"/>
    <col min="7" max="7" width="16.7109375" style="84" customWidth="1"/>
    <col min="8" max="8" width="6.7109375" style="124" customWidth="1"/>
    <col min="9" max="9" width="36.7109375" style="84" customWidth="1"/>
    <col min="10" max="10" width="6" style="84" customWidth="1"/>
    <col min="11" max="12" width="12.85546875" style="84" customWidth="1"/>
    <col min="13" max="13" width="30.140625" style="84" customWidth="1"/>
    <col min="14" max="16384" width="11.42578125" style="84"/>
  </cols>
  <sheetData>
    <row r="1" spans="1:35" ht="13.5" thickBot="1">
      <c r="B1" s="278"/>
      <c r="C1" s="81"/>
      <c r="D1" s="81"/>
      <c r="E1" s="81"/>
      <c r="F1" s="81"/>
      <c r="G1" s="82"/>
      <c r="H1" s="83"/>
      <c r="I1" s="81"/>
      <c r="J1" s="81"/>
      <c r="K1" s="81"/>
      <c r="L1" s="81"/>
      <c r="M1" s="81"/>
      <c r="N1" s="80"/>
      <c r="O1" s="80"/>
      <c r="P1" s="80"/>
      <c r="Q1" s="80"/>
      <c r="R1" s="80"/>
      <c r="S1" s="80"/>
      <c r="T1" s="80"/>
      <c r="U1" s="80"/>
      <c r="V1" s="80"/>
      <c r="W1" s="80"/>
      <c r="X1" s="80"/>
      <c r="Y1" s="80"/>
      <c r="Z1" s="80"/>
      <c r="AA1" s="80"/>
      <c r="AB1" s="80"/>
      <c r="AC1" s="80"/>
      <c r="AD1" s="80"/>
      <c r="AE1" s="80"/>
      <c r="AF1" s="80"/>
      <c r="AG1" s="80"/>
      <c r="AH1" s="80"/>
      <c r="AI1" s="80"/>
    </row>
    <row r="2" spans="1:35" ht="21" thickBot="1">
      <c r="A2" s="85"/>
      <c r="B2" s="671" t="str">
        <f ca="1">language!A369</f>
        <v xml:space="preserve"> ОПРОСНЫЙ ЛИСТ ДЛЯ: СЧЕТЧИК ГАЗА УЛЬТРАЗВУКОВОЙ</v>
      </c>
      <c r="C2" s="672"/>
      <c r="D2" s="672"/>
      <c r="E2" s="672"/>
      <c r="F2" s="672"/>
      <c r="G2" s="672"/>
      <c r="H2" s="672"/>
      <c r="I2" s="673"/>
      <c r="J2" s="682"/>
      <c r="K2" s="682"/>
      <c r="L2" s="682"/>
      <c r="M2" s="683"/>
      <c r="N2" s="246"/>
      <c r="O2" s="247"/>
      <c r="P2" s="247"/>
      <c r="Q2" s="247"/>
      <c r="R2" s="247"/>
      <c r="S2" s="247"/>
      <c r="T2" s="247"/>
      <c r="U2" s="247"/>
      <c r="V2" s="247"/>
      <c r="W2" s="247"/>
      <c r="X2" s="247"/>
      <c r="Y2" s="247"/>
      <c r="Z2" s="247"/>
      <c r="AA2" s="247"/>
      <c r="AB2" s="247"/>
      <c r="AC2" s="247"/>
      <c r="AD2" s="80"/>
      <c r="AE2" s="80"/>
      <c r="AF2" s="80"/>
      <c r="AG2" s="80"/>
      <c r="AH2" s="80"/>
      <c r="AI2" s="80"/>
    </row>
    <row r="3" spans="1:35" ht="20.100000000000001" customHeight="1" thickBot="1">
      <c r="A3" s="85"/>
      <c r="B3" s="162" t="s">
        <v>716</v>
      </c>
      <c r="C3" s="678" t="str">
        <f ca="1">language!A370</f>
        <v>Код типа</v>
      </c>
      <c r="D3" s="679"/>
      <c r="E3" s="674"/>
      <c r="F3" s="672"/>
      <c r="G3" s="672"/>
      <c r="H3" s="672"/>
      <c r="I3" s="673"/>
      <c r="J3" s="684"/>
      <c r="K3" s="684"/>
      <c r="L3" s="684"/>
      <c r="M3" s="685"/>
      <c r="N3" s="248"/>
      <c r="O3" s="247"/>
      <c r="P3" s="247"/>
      <c r="Q3" s="247"/>
      <c r="R3" s="247"/>
      <c r="S3" s="247"/>
      <c r="T3" s="247"/>
      <c r="U3" s="247"/>
      <c r="V3" s="247"/>
      <c r="W3" s="247"/>
      <c r="X3" s="247"/>
      <c r="Y3" s="247"/>
      <c r="Z3" s="247"/>
      <c r="AA3" s="247"/>
      <c r="AB3" s="247"/>
      <c r="AC3" s="247"/>
      <c r="AD3" s="80"/>
      <c r="AE3" s="80"/>
      <c r="AF3" s="80"/>
      <c r="AG3" s="80"/>
      <c r="AH3" s="80"/>
      <c r="AI3" s="80"/>
    </row>
    <row r="4" spans="1:35" ht="20.100000000000001" customHeight="1" thickBot="1">
      <c r="A4" s="85"/>
      <c r="B4" s="148"/>
      <c r="C4" s="678"/>
      <c r="D4" s="680"/>
      <c r="E4" s="680"/>
      <c r="F4" s="680"/>
      <c r="G4" s="681"/>
      <c r="H4" s="86"/>
      <c r="I4" s="174"/>
      <c r="J4" s="686"/>
      <c r="K4" s="686"/>
      <c r="L4" s="686"/>
      <c r="M4" s="687"/>
      <c r="N4" s="249"/>
      <c r="O4" s="247"/>
      <c r="P4" s="247"/>
      <c r="Q4" s="247"/>
      <c r="R4" s="247"/>
      <c r="S4" s="247"/>
      <c r="T4" s="247"/>
      <c r="U4" s="247"/>
      <c r="V4" s="247"/>
      <c r="W4" s="247"/>
      <c r="X4" s="247"/>
      <c r="Y4" s="247"/>
      <c r="Z4" s="247"/>
      <c r="AA4" s="247"/>
      <c r="AB4" s="247"/>
      <c r="AC4" s="247"/>
      <c r="AD4" s="80"/>
      <c r="AE4" s="80"/>
      <c r="AF4" s="80"/>
      <c r="AG4" s="80"/>
      <c r="AH4" s="80"/>
      <c r="AI4" s="80"/>
    </row>
    <row r="5" spans="1:35" ht="20.100000000000001" customHeight="1">
      <c r="A5" s="85"/>
      <c r="B5" s="149">
        <v>1</v>
      </c>
      <c r="C5" s="675" t="str">
        <f ca="1">language!A371</f>
        <v xml:space="preserve">Общие данные </v>
      </c>
      <c r="D5" s="676"/>
      <c r="E5" s="676"/>
      <c r="F5" s="676"/>
      <c r="G5" s="677"/>
      <c r="H5" s="149">
        <v>54</v>
      </c>
      <c r="I5" s="675" t="str">
        <f ca="1">language!A424</f>
        <v>Блок электроники</v>
      </c>
      <c r="J5" s="676"/>
      <c r="K5" s="676"/>
      <c r="L5" s="676"/>
      <c r="M5" s="677"/>
      <c r="N5" s="249"/>
      <c r="O5" s="247"/>
      <c r="P5" s="247"/>
      <c r="Q5" s="247"/>
      <c r="R5" s="247"/>
      <c r="S5" s="247"/>
      <c r="T5" s="247"/>
      <c r="U5" s="247"/>
      <c r="V5" s="247"/>
      <c r="W5" s="247"/>
      <c r="X5" s="247"/>
      <c r="Y5" s="247"/>
      <c r="Z5" s="247"/>
      <c r="AA5" s="247"/>
      <c r="AB5" s="247"/>
      <c r="AC5" s="247"/>
      <c r="AD5" s="80"/>
      <c r="AE5" s="80"/>
      <c r="AF5" s="80"/>
      <c r="AG5" s="80"/>
      <c r="AH5" s="80"/>
      <c r="AI5" s="80"/>
    </row>
    <row r="6" spans="1:35" ht="20.100000000000001" customHeight="1">
      <c r="A6" s="85"/>
      <c r="B6" s="150">
        <v>2</v>
      </c>
      <c r="C6" s="733"/>
      <c r="D6" s="734"/>
      <c r="E6" s="734"/>
      <c r="F6" s="734"/>
      <c r="G6" s="735"/>
      <c r="H6" s="150">
        <v>56</v>
      </c>
      <c r="I6" s="87" t="str">
        <f ca="1">language!A425</f>
        <v>Питание / Мощность</v>
      </c>
      <c r="J6" s="88"/>
      <c r="K6" s="89" t="s">
        <v>778</v>
      </c>
      <c r="L6" s="90"/>
      <c r="M6" s="91" t="s">
        <v>779</v>
      </c>
      <c r="N6" s="250"/>
      <c r="O6" s="247"/>
      <c r="P6" s="247"/>
      <c r="Q6" s="247"/>
      <c r="R6" s="247"/>
      <c r="S6" s="247"/>
      <c r="T6" s="247"/>
      <c r="U6" s="247"/>
      <c r="V6" s="247"/>
      <c r="W6" s="247"/>
      <c r="X6" s="247"/>
      <c r="Y6" s="247"/>
      <c r="Z6" s="247"/>
      <c r="AA6" s="247"/>
      <c r="AB6" s="247"/>
      <c r="AC6" s="247"/>
      <c r="AD6" s="80"/>
      <c r="AE6" s="80"/>
      <c r="AF6" s="80"/>
      <c r="AG6" s="80"/>
      <c r="AH6" s="80"/>
      <c r="AI6" s="80"/>
    </row>
    <row r="7" spans="1:35" ht="20.100000000000001" customHeight="1">
      <c r="A7" s="85"/>
      <c r="B7" s="150">
        <v>3</v>
      </c>
      <c r="C7" s="92" t="str">
        <f ca="1">language!A372</f>
        <v>Тип</v>
      </c>
      <c r="D7" s="93"/>
      <c r="E7" s="715"/>
      <c r="F7" s="716"/>
      <c r="G7" s="717"/>
      <c r="H7" s="150">
        <v>57</v>
      </c>
      <c r="I7" s="87" t="str">
        <f ca="1">language!A426</f>
        <v>Степень защиты</v>
      </c>
      <c r="J7" s="88"/>
      <c r="K7" s="718" t="s">
        <v>777</v>
      </c>
      <c r="L7" s="719"/>
      <c r="M7" s="720"/>
      <c r="N7" s="251"/>
      <c r="O7" s="247"/>
      <c r="P7" s="247"/>
      <c r="Q7" s="247"/>
      <c r="R7" s="247"/>
      <c r="S7" s="247"/>
      <c r="T7" s="247"/>
      <c r="U7" s="247"/>
      <c r="V7" s="247"/>
      <c r="W7" s="247"/>
      <c r="X7" s="247"/>
      <c r="Y7" s="247"/>
      <c r="Z7" s="247"/>
      <c r="AA7" s="247"/>
      <c r="AB7" s="247"/>
      <c r="AC7" s="247"/>
      <c r="AD7" s="80"/>
      <c r="AE7" s="80"/>
      <c r="AF7" s="80"/>
      <c r="AG7" s="80"/>
      <c r="AH7" s="80"/>
      <c r="AI7" s="80"/>
    </row>
    <row r="8" spans="1:35" ht="20.100000000000001" customHeight="1">
      <c r="A8" s="85"/>
      <c r="B8" s="150">
        <v>4</v>
      </c>
      <c r="C8" s="92" t="str">
        <f ca="1">language!A373</f>
        <v>Размер счётчика</v>
      </c>
      <c r="D8" s="93"/>
      <c r="E8" s="715">
        <f>'Page1|Страница 1'!K36</f>
        <v>0</v>
      </c>
      <c r="F8" s="716"/>
      <c r="G8" s="717"/>
      <c r="H8" s="150">
        <v>58</v>
      </c>
      <c r="I8" s="87" t="str">
        <f ca="1">language!A427</f>
        <v>Кабельные вводы</v>
      </c>
      <c r="J8" s="88"/>
      <c r="K8" s="721" t="e">
        <f>gewinde</f>
        <v>#N/A</v>
      </c>
      <c r="L8" s="722"/>
      <c r="M8" s="723"/>
      <c r="N8" s="249"/>
      <c r="O8" s="247"/>
      <c r="P8" s="247"/>
      <c r="Q8" s="247"/>
      <c r="R8" s="247"/>
      <c r="S8" s="247"/>
      <c r="T8" s="247"/>
      <c r="U8" s="247"/>
      <c r="V8" s="247"/>
      <c r="W8" s="247"/>
      <c r="X8" s="247"/>
      <c r="Y8" s="247"/>
      <c r="Z8" s="247"/>
      <c r="AA8" s="247"/>
      <c r="AB8" s="247"/>
      <c r="AC8" s="247"/>
      <c r="AD8" s="80"/>
      <c r="AE8" s="80"/>
      <c r="AF8" s="80"/>
      <c r="AG8" s="80"/>
      <c r="AH8" s="80"/>
      <c r="AI8" s="80"/>
    </row>
    <row r="9" spans="1:35" ht="20.100000000000001" customHeight="1">
      <c r="A9" s="85"/>
      <c r="B9" s="150">
        <v>5</v>
      </c>
      <c r="C9" s="92" t="str">
        <f ca="1">language!A374</f>
        <v>Артикул</v>
      </c>
      <c r="D9" s="93"/>
      <c r="E9" s="721"/>
      <c r="F9" s="722"/>
      <c r="G9" s="723"/>
      <c r="H9" s="150">
        <v>59</v>
      </c>
      <c r="I9" s="87" t="str">
        <f ca="1">language!A428</f>
        <v>Маркировка взрывозащиты</v>
      </c>
      <c r="J9" s="88"/>
      <c r="K9" s="724" t="e">
        <f>exclass</f>
        <v>#N/A</v>
      </c>
      <c r="L9" s="725"/>
      <c r="M9" s="726"/>
      <c r="N9" s="249"/>
      <c r="O9" s="247"/>
      <c r="P9" s="247"/>
      <c r="Q9" s="247"/>
      <c r="R9" s="247"/>
      <c r="S9" s="247"/>
      <c r="T9" s="247"/>
      <c r="U9" s="247"/>
      <c r="V9" s="247"/>
      <c r="W9" s="247"/>
      <c r="X9" s="247"/>
      <c r="Y9" s="247"/>
      <c r="Z9" s="247"/>
      <c r="AA9" s="247"/>
      <c r="AB9" s="247"/>
      <c r="AC9" s="247"/>
      <c r="AD9" s="80"/>
      <c r="AE9" s="80"/>
      <c r="AF9" s="80"/>
      <c r="AG9" s="80"/>
      <c r="AH9" s="80"/>
      <c r="AI9" s="80"/>
    </row>
    <row r="10" spans="1:35" ht="20.100000000000001" customHeight="1">
      <c r="A10" s="85"/>
      <c r="B10" s="150">
        <v>6</v>
      </c>
      <c r="C10" s="92" t="str">
        <f ca="1">language!A375</f>
        <v>No. чертежа</v>
      </c>
      <c r="D10" s="93"/>
      <c r="E10" s="721" t="str">
        <f>IF('Page1|Страница 1'!AE30="","",'Page1|Страница 1'!AE30)</f>
        <v/>
      </c>
      <c r="F10" s="722"/>
      <c r="G10" s="723"/>
      <c r="H10" s="150"/>
      <c r="I10" s="87"/>
      <c r="J10" s="88"/>
      <c r="K10" s="727"/>
      <c r="L10" s="728"/>
      <c r="M10" s="729"/>
      <c r="N10" s="249"/>
      <c r="O10" s="247"/>
      <c r="P10" s="247"/>
      <c r="Q10" s="247"/>
      <c r="R10" s="247"/>
      <c r="S10" s="247"/>
      <c r="T10" s="247"/>
      <c r="U10" s="247"/>
      <c r="V10" s="247"/>
      <c r="W10" s="247"/>
      <c r="X10" s="247"/>
      <c r="Y10" s="247"/>
      <c r="Z10" s="247"/>
      <c r="AA10" s="247"/>
      <c r="AB10" s="247"/>
      <c r="AC10" s="247"/>
      <c r="AD10" s="80"/>
      <c r="AE10" s="80"/>
      <c r="AF10" s="80"/>
      <c r="AG10" s="80"/>
      <c r="AH10" s="80"/>
      <c r="AI10" s="80"/>
    </row>
    <row r="11" spans="1:35" ht="20.100000000000001" customHeight="1">
      <c r="A11" s="85"/>
      <c r="B11" s="150">
        <v>7</v>
      </c>
      <c r="C11" s="92" t="str">
        <f ca="1">language!A376</f>
        <v>Номер заказа</v>
      </c>
      <c r="D11" s="93"/>
      <c r="E11" s="718"/>
      <c r="F11" s="719"/>
      <c r="G11" s="720"/>
      <c r="H11" s="150"/>
      <c r="I11" s="87"/>
      <c r="J11" s="88"/>
      <c r="K11" s="730"/>
      <c r="L11" s="731"/>
      <c r="M11" s="732"/>
      <c r="N11" s="249"/>
      <c r="O11" s="247"/>
      <c r="P11" s="247"/>
      <c r="Q11" s="247"/>
      <c r="R11" s="247"/>
      <c r="S11" s="247"/>
      <c r="T11" s="247"/>
      <c r="U11" s="247"/>
      <c r="V11" s="247"/>
      <c r="W11" s="247"/>
      <c r="X11" s="247"/>
      <c r="Y11" s="247"/>
      <c r="Z11" s="247"/>
      <c r="AA11" s="247"/>
      <c r="AB11" s="247"/>
      <c r="AC11" s="247"/>
      <c r="AD11" s="80"/>
      <c r="AE11" s="80"/>
      <c r="AF11" s="80"/>
      <c r="AG11" s="80"/>
      <c r="AH11" s="80"/>
      <c r="AI11" s="80"/>
    </row>
    <row r="12" spans="1:35" ht="20.100000000000001" customHeight="1" thickBot="1">
      <c r="A12" s="85"/>
      <c r="B12" s="151">
        <v>8</v>
      </c>
      <c r="C12" s="742"/>
      <c r="D12" s="743"/>
      <c r="E12" s="743"/>
      <c r="F12" s="743"/>
      <c r="G12" s="744"/>
      <c r="H12" s="150">
        <v>60</v>
      </c>
      <c r="I12" s="87" t="str">
        <f ca="1">language!A429</f>
        <v>Материал блока БОС</v>
      </c>
      <c r="J12" s="88"/>
      <c r="K12" s="721" t="str">
        <f>'Page2|Страница 2'!AD54</f>
        <v/>
      </c>
      <c r="L12" s="722"/>
      <c r="M12" s="723"/>
      <c r="N12" s="249"/>
      <c r="O12" s="247"/>
      <c r="P12" s="247"/>
      <c r="Q12" s="247"/>
      <c r="R12" s="247"/>
      <c r="S12" s="247"/>
      <c r="T12" s="247"/>
      <c r="U12" s="247"/>
      <c r="V12" s="247"/>
      <c r="W12" s="247"/>
      <c r="X12" s="247"/>
      <c r="Y12" s="247"/>
      <c r="Z12" s="247"/>
      <c r="AA12" s="247"/>
      <c r="AB12" s="247"/>
      <c r="AC12" s="247"/>
      <c r="AD12" s="80"/>
      <c r="AE12" s="80"/>
      <c r="AF12" s="80"/>
      <c r="AG12" s="80"/>
      <c r="AH12" s="80"/>
      <c r="AI12" s="80"/>
    </row>
    <row r="13" spans="1:35" ht="20.100000000000001" customHeight="1">
      <c r="A13" s="85"/>
      <c r="B13" s="149">
        <v>9</v>
      </c>
      <c r="C13" s="675" t="str">
        <f ca="1">language!A378</f>
        <v>Корпус счетчика</v>
      </c>
      <c r="D13" s="676"/>
      <c r="E13" s="676"/>
      <c r="F13" s="676"/>
      <c r="G13" s="677"/>
      <c r="H13" s="150">
        <v>61</v>
      </c>
      <c r="I13" s="93" t="str">
        <f ca="1">language!A430</f>
        <v>Диапазон температуры окр. Среды</v>
      </c>
      <c r="J13" s="94" t="str">
        <f>'Page1|Страница 1'!R86</f>
        <v>°C</v>
      </c>
      <c r="K13" s="745" t="str">
        <f>CONCATENATE('Page1|Страница 1'!N86," ... ",'Page1|Страница 1'!AD86)</f>
        <v xml:space="preserve"> ... </v>
      </c>
      <c r="L13" s="746"/>
      <c r="M13" s="747"/>
      <c r="N13" s="252"/>
      <c r="O13" s="247"/>
      <c r="P13" s="247"/>
      <c r="Q13" s="247"/>
      <c r="R13" s="247"/>
      <c r="S13" s="247"/>
      <c r="T13" s="247"/>
      <c r="U13" s="247"/>
      <c r="V13" s="247"/>
      <c r="W13" s="247"/>
      <c r="X13" s="247"/>
      <c r="Y13" s="247"/>
      <c r="Z13" s="247"/>
      <c r="AA13" s="247"/>
      <c r="AB13" s="247"/>
      <c r="AC13" s="247"/>
      <c r="AD13" s="80"/>
      <c r="AE13" s="80"/>
      <c r="AF13" s="80"/>
      <c r="AG13" s="80"/>
      <c r="AH13" s="80"/>
      <c r="AI13" s="80"/>
    </row>
    <row r="14" spans="1:35" ht="20.100000000000001" customHeight="1">
      <c r="A14" s="85"/>
      <c r="B14" s="150">
        <v>10</v>
      </c>
      <c r="C14" s="92" t="str">
        <f ca="1">language!A379</f>
        <v>Внутренний D подсоединяемой трубы</v>
      </c>
      <c r="D14" s="94"/>
      <c r="E14" s="739"/>
      <c r="F14" s="740"/>
      <c r="G14" s="741"/>
      <c r="H14" s="150">
        <v>62</v>
      </c>
      <c r="I14" s="87" t="str">
        <f ca="1">language!A431</f>
        <v>Передняя панель</v>
      </c>
      <c r="J14" s="88"/>
      <c r="K14" s="721" t="str">
        <f>'Page2|Страница 2'!M56</f>
        <v>LCD</v>
      </c>
      <c r="L14" s="722"/>
      <c r="M14" s="723"/>
      <c r="N14" s="252"/>
      <c r="O14" s="247"/>
      <c r="P14" s="247"/>
      <c r="Q14" s="247"/>
      <c r="R14" s="247"/>
      <c r="S14" s="247"/>
      <c r="T14" s="247"/>
      <c r="U14" s="247"/>
      <c r="V14" s="247"/>
      <c r="W14" s="247"/>
      <c r="X14" s="247"/>
      <c r="Y14" s="247"/>
      <c r="Z14" s="247"/>
      <c r="AA14" s="247"/>
      <c r="AB14" s="247"/>
      <c r="AC14" s="247"/>
      <c r="AD14" s="80"/>
      <c r="AE14" s="80"/>
      <c r="AF14" s="80"/>
      <c r="AG14" s="80"/>
      <c r="AH14" s="80"/>
      <c r="AI14" s="80"/>
    </row>
    <row r="15" spans="1:35" ht="20.100000000000001" customHeight="1">
      <c r="A15" s="85"/>
      <c r="B15" s="150">
        <v>11</v>
      </c>
      <c r="C15" s="92" t="str">
        <f ca="1">language!A380</f>
        <v>Общая длина (А)</v>
      </c>
      <c r="D15" s="94"/>
      <c r="E15" s="739"/>
      <c r="F15" s="740"/>
      <c r="G15" s="741"/>
      <c r="H15" s="150">
        <v>63</v>
      </c>
      <c r="I15" s="93" t="str">
        <f ca="1">language!A432</f>
        <v>Язык дисплея (только для ЖК дисплеев)</v>
      </c>
      <c r="J15" s="88"/>
      <c r="K15" s="721"/>
      <c r="L15" s="722"/>
      <c r="M15" s="723"/>
      <c r="N15" s="249"/>
      <c r="O15" s="247"/>
      <c r="P15" s="247"/>
      <c r="Q15" s="247"/>
      <c r="R15" s="247"/>
      <c r="S15" s="247"/>
      <c r="T15" s="247"/>
      <c r="U15" s="247"/>
      <c r="V15" s="247"/>
      <c r="W15" s="247"/>
      <c r="X15" s="247"/>
      <c r="Y15" s="247"/>
      <c r="Z15" s="247"/>
      <c r="AA15" s="247"/>
      <c r="AB15" s="247"/>
      <c r="AC15" s="247"/>
      <c r="AD15" s="80"/>
      <c r="AE15" s="80"/>
      <c r="AF15" s="80"/>
      <c r="AG15" s="80"/>
      <c r="AH15" s="80"/>
      <c r="AI15" s="80"/>
    </row>
    <row r="16" spans="1:35" ht="20.100000000000001" customHeight="1" thickBot="1">
      <c r="A16" s="85"/>
      <c r="B16" s="150">
        <v>12</v>
      </c>
      <c r="C16" s="92" t="str">
        <f ca="1">language!A381</f>
        <v>Общая высота (В)</v>
      </c>
      <c r="D16" s="94"/>
      <c r="E16" s="739"/>
      <c r="F16" s="740"/>
      <c r="G16" s="741"/>
      <c r="H16" s="150">
        <v>64</v>
      </c>
      <c r="I16" s="87" t="str">
        <f ca="1">language!A433</f>
        <v>Единицы измерения</v>
      </c>
      <c r="J16" s="88"/>
      <c r="K16" s="776" t="str">
        <f>'Page2|Страница 2'!M54</f>
        <v>Метрические</v>
      </c>
      <c r="L16" s="777"/>
      <c r="M16" s="778"/>
      <c r="N16" s="249"/>
      <c r="O16" s="247"/>
      <c r="P16" s="247"/>
      <c r="Q16" s="247"/>
      <c r="R16" s="247"/>
      <c r="S16" s="247"/>
      <c r="T16" s="247"/>
      <c r="U16" s="247"/>
      <c r="V16" s="247"/>
      <c r="W16" s="247"/>
      <c r="X16" s="247"/>
      <c r="Y16" s="247"/>
      <c r="Z16" s="247"/>
      <c r="AA16" s="247"/>
      <c r="AB16" s="247"/>
      <c r="AC16" s="247"/>
      <c r="AD16" s="80"/>
      <c r="AE16" s="80"/>
      <c r="AF16" s="80"/>
      <c r="AG16" s="80"/>
      <c r="AH16" s="80"/>
      <c r="AI16" s="80"/>
    </row>
    <row r="17" spans="1:35" ht="20.100000000000001" customHeight="1">
      <c r="A17" s="85"/>
      <c r="B17" s="150">
        <v>13</v>
      </c>
      <c r="C17" s="92" t="str">
        <f ca="1">language!A382</f>
        <v>Вес</v>
      </c>
      <c r="D17" s="94"/>
      <c r="E17" s="779"/>
      <c r="F17" s="780"/>
      <c r="G17" s="781"/>
      <c r="H17" s="164">
        <v>65</v>
      </c>
      <c r="I17" s="675" t="str">
        <f ca="1">IF(E19="4+1",CONCATENATE(language!A435," 1"),language!A435)</f>
        <v>Конфигурация выходов блока обработки данных</v>
      </c>
      <c r="J17" s="676"/>
      <c r="K17" s="676"/>
      <c r="L17" s="676"/>
      <c r="M17" s="677"/>
      <c r="N17" s="249"/>
      <c r="O17" s="247"/>
      <c r="P17" s="247"/>
      <c r="Q17" s="247"/>
      <c r="R17" s="247"/>
      <c r="S17" s="247"/>
      <c r="T17" s="247"/>
      <c r="U17" s="247"/>
      <c r="V17" s="247"/>
      <c r="W17" s="247"/>
      <c r="X17" s="247"/>
      <c r="Y17" s="247"/>
      <c r="Z17" s="247"/>
      <c r="AA17" s="247"/>
      <c r="AB17" s="247"/>
      <c r="AC17" s="247"/>
      <c r="AD17" s="80"/>
      <c r="AE17" s="80"/>
      <c r="AF17" s="80"/>
      <c r="AG17" s="80"/>
      <c r="AH17" s="80"/>
      <c r="AI17" s="80"/>
    </row>
    <row r="18" spans="1:35" ht="20.100000000000001" customHeight="1">
      <c r="A18" s="85"/>
      <c r="B18" s="150">
        <v>14</v>
      </c>
      <c r="C18" s="92" t="str">
        <f ca="1">language!A383</f>
        <v>Диапазон объемного расхода (р.у.)</v>
      </c>
      <c r="D18" s="94"/>
      <c r="E18" s="739"/>
      <c r="F18" s="740"/>
      <c r="G18" s="741"/>
      <c r="H18" s="165">
        <v>66</v>
      </c>
      <c r="I18" s="95" t="str">
        <f ca="1">CONCATENATE(language!A436," (",'Page3|Страница 3'!E46,")")</f>
        <v>DO0/AO0 Клеммы 31/32 ()</v>
      </c>
      <c r="J18" s="96"/>
      <c r="K18" s="721">
        <f>'Page3|Страница 3'!K47:Y47</f>
        <v>0</v>
      </c>
      <c r="L18" s="722"/>
      <c r="M18" s="723"/>
      <c r="N18" s="290" t="b">
        <v>0</v>
      </c>
      <c r="O18" s="247"/>
      <c r="P18" s="247"/>
      <c r="Q18" s="247"/>
      <c r="R18" s="247"/>
      <c r="S18" s="247"/>
      <c r="T18" s="247"/>
      <c r="U18" s="247"/>
      <c r="V18" s="247"/>
      <c r="W18" s="247"/>
      <c r="X18" s="247"/>
      <c r="Y18" s="247"/>
      <c r="Z18" s="247"/>
      <c r="AA18" s="247"/>
      <c r="AB18" s="247"/>
      <c r="AC18" s="247"/>
      <c r="AD18" s="80"/>
      <c r="AE18" s="80"/>
      <c r="AF18" s="80"/>
      <c r="AG18" s="80"/>
      <c r="AH18" s="80"/>
      <c r="AI18" s="80"/>
    </row>
    <row r="19" spans="1:35" ht="20.100000000000001" customHeight="1">
      <c r="A19" s="85"/>
      <c r="B19" s="150">
        <v>15</v>
      </c>
      <c r="C19" s="92" t="str">
        <f ca="1">language!A384</f>
        <v>Количество измерительных лучей</v>
      </c>
      <c r="D19" s="88"/>
      <c r="E19" s="721">
        <f>IF('Page1|Страница 1'!W36="2plex (4+1)","4+1",IF('Page1|Страница 1'!W36="Quatro (4+4)","4+4",'Page1|Страница 1'!W36))</f>
        <v>0</v>
      </c>
      <c r="F19" s="722"/>
      <c r="G19" s="723"/>
      <c r="H19" s="157">
        <v>67</v>
      </c>
      <c r="I19" s="169" t="str">
        <f ca="1">CONCATENATE("     ",IF(OR(Output_config_2=8,Output_config_2=9,Output_config_2=10,Output_config_2=11),"",language!A437))</f>
        <v xml:space="preserve">     Конфигурация сигнала</v>
      </c>
      <c r="J19" s="97"/>
      <c r="K19" s="721" t="str">
        <f>CONCATENATE('Page3|Страница 3'!Z47," / ",'Page3|Страница 3'!AE47)</f>
        <v xml:space="preserve"> / </v>
      </c>
      <c r="L19" s="722"/>
      <c r="M19" s="723"/>
      <c r="N19" s="290" t="b">
        <v>0</v>
      </c>
      <c r="O19" s="247"/>
      <c r="P19" s="247"/>
      <c r="Q19" s="247"/>
      <c r="R19" s="247"/>
      <c r="S19" s="247"/>
      <c r="T19" s="247"/>
      <c r="U19" s="247"/>
      <c r="V19" s="247"/>
      <c r="W19" s="247"/>
      <c r="X19" s="247"/>
      <c r="Y19" s="247"/>
      <c r="Z19" s="247"/>
      <c r="AA19" s="247"/>
      <c r="AB19" s="247"/>
      <c r="AC19" s="247"/>
      <c r="AD19" s="85"/>
      <c r="AE19" s="80"/>
      <c r="AF19" s="80"/>
      <c r="AG19" s="80"/>
      <c r="AH19" s="80"/>
      <c r="AI19" s="80"/>
    </row>
    <row r="20" spans="1:35" ht="20.100000000000001" customHeight="1">
      <c r="B20" s="150">
        <v>16</v>
      </c>
      <c r="C20" s="92" t="str">
        <f ca="1">language!A385</f>
        <v>Линейность</v>
      </c>
      <c r="D20" s="88"/>
      <c r="E20" s="715"/>
      <c r="F20" s="716"/>
      <c r="G20" s="717"/>
      <c r="H20" s="150">
        <v>68</v>
      </c>
      <c r="I20" s="169" t="str">
        <f>CONCATENATE("     ",IF(OR(Output_config_2=4,Output_config_2=5),language!A438,""))</f>
        <v xml:space="preserve">     </v>
      </c>
      <c r="J20" s="97"/>
      <c r="K20" s="721" t="str">
        <f>IF(OR(Output_config_2=4,Output_config_2=5),'Page3|Страница 3'!L64,"")</f>
        <v/>
      </c>
      <c r="L20" s="722"/>
      <c r="M20" s="723"/>
      <c r="N20" s="290" t="b">
        <v>0</v>
      </c>
      <c r="O20" s="247"/>
      <c r="P20" s="247"/>
      <c r="Q20" s="247"/>
      <c r="R20" s="247"/>
      <c r="S20" s="247"/>
      <c r="T20" s="247"/>
      <c r="U20" s="247"/>
      <c r="V20" s="247"/>
      <c r="W20" s="247"/>
      <c r="X20" s="247"/>
      <c r="Y20" s="247"/>
      <c r="Z20" s="247"/>
      <c r="AA20" s="247"/>
      <c r="AB20" s="247"/>
      <c r="AC20" s="247"/>
      <c r="AD20" s="85"/>
      <c r="AE20" s="80"/>
      <c r="AF20" s="80"/>
      <c r="AG20" s="80"/>
      <c r="AH20" s="80"/>
      <c r="AI20" s="80"/>
    </row>
    <row r="21" spans="1:35" ht="20.100000000000001" customHeight="1">
      <c r="B21" s="150">
        <v>17</v>
      </c>
      <c r="C21" s="92" t="str">
        <f ca="1">language!A386</f>
        <v>Повторяемость</v>
      </c>
      <c r="D21" s="88"/>
      <c r="E21" s="703"/>
      <c r="F21" s="704"/>
      <c r="G21" s="705"/>
      <c r="H21" s="150">
        <v>69</v>
      </c>
      <c r="I21" s="170" t="str">
        <f>CONCATENATE("     ",IF(OR(Output_config_2=4,Output_config_2=5,Output_config_2=7),language!A439,""))</f>
        <v xml:space="preserve">     </v>
      </c>
      <c r="J21" s="94" t="str">
        <f>IF(OR(Output_config_2=4,Output_config_2=5,Output_config_2=7),'Page3|Страница 3'!P70,"")</f>
        <v/>
      </c>
      <c r="K21" s="94" t="str">
        <f>IF(OR(Output_config_2=4,Output_config_2=5,Output_config_2=7),20,"")</f>
        <v/>
      </c>
      <c r="L21" s="98" t="str">
        <f>IF(OR(Output_config_2=4,Output_config_2=5,Output_config_2=7),'Page3|Страница 3'!P66,"")</f>
        <v/>
      </c>
      <c r="M21" s="142" t="str">
        <f>IF(OR(Output_config_2=4,Output_config_2=5,Output_config_2=7),'Page3|Страница 3'!L68,"")</f>
        <v/>
      </c>
      <c r="N21" s="290" t="b">
        <v>0</v>
      </c>
      <c r="O21" s="247"/>
      <c r="P21" s="247"/>
      <c r="Q21" s="247"/>
      <c r="R21" s="247"/>
      <c r="S21" s="247"/>
      <c r="T21" s="247"/>
      <c r="U21" s="247"/>
      <c r="V21" s="247"/>
      <c r="W21" s="247"/>
      <c r="X21" s="247"/>
      <c r="Y21" s="247"/>
      <c r="Z21" s="247"/>
      <c r="AA21" s="247"/>
      <c r="AB21" s="247"/>
      <c r="AC21" s="247"/>
      <c r="AD21" s="80"/>
      <c r="AE21" s="80"/>
      <c r="AF21" s="80"/>
      <c r="AG21" s="80"/>
      <c r="AH21" s="80"/>
      <c r="AI21" s="80"/>
    </row>
    <row r="22" spans="1:35" ht="20.100000000000001" customHeight="1">
      <c r="A22" s="85"/>
      <c r="B22" s="150">
        <v>18</v>
      </c>
      <c r="C22" s="92" t="str">
        <f ca="1">language!A387</f>
        <v>Исполнение фланца</v>
      </c>
      <c r="D22" s="88"/>
      <c r="E22" s="715" t="str">
        <f>IF(LEFT('Page2|Страница 2'!M16,4)="ANSI","ANSI",IF(LEFT('Page2|Страница 2'!M16,5)="DIN/EN","DIN/EN",LEFT('Page2|Страница 2'!M16,13)))</f>
        <v/>
      </c>
      <c r="F22" s="716"/>
      <c r="G22" s="717"/>
      <c r="H22" s="150">
        <v>70</v>
      </c>
      <c r="I22" s="170" t="str">
        <f>CONCATENATE("     ",IF(OR(Output_config_2=4,Output_config_2=5,Output_config_2=7),language!A440,""))</f>
        <v xml:space="preserve">     </v>
      </c>
      <c r="J22" s="94" t="str">
        <f>IF(OR(Output_config_2=4,Output_config_2=5,Output_config_2=7),'Page3|Страница 3'!P70,"")</f>
        <v/>
      </c>
      <c r="K22" s="94" t="str">
        <f>IF(OR(Output_config_2=4,Output_config_2=5,Output_config_2=7),4,"")</f>
        <v/>
      </c>
      <c r="L22" s="99" t="str">
        <f>IF(OR(Output_config_2=4,Output_config_2=5,Output_config_2=7),'Page3|Страница 3'!P68,"")</f>
        <v/>
      </c>
      <c r="M22" s="142" t="str">
        <f>IF(OR(Output_config_2=4,Output_config_2=5,Output_config_2=7),'Page3|Страница 3'!L66,"")</f>
        <v/>
      </c>
      <c r="N22" s="290" t="b">
        <v>0</v>
      </c>
      <c r="O22" s="247"/>
      <c r="P22" s="247"/>
      <c r="Q22" s="247"/>
      <c r="R22" s="247"/>
      <c r="S22" s="247"/>
      <c r="T22" s="247"/>
      <c r="U22" s="247"/>
      <c r="V22" s="247"/>
      <c r="W22" s="247"/>
      <c r="X22" s="247"/>
      <c r="Y22" s="247"/>
      <c r="Z22" s="247"/>
      <c r="AA22" s="247"/>
      <c r="AB22" s="247"/>
      <c r="AC22" s="247"/>
      <c r="AD22" s="80"/>
      <c r="AE22" s="80"/>
      <c r="AF22" s="80"/>
      <c r="AG22" s="80"/>
      <c r="AH22" s="80"/>
      <c r="AI22" s="80"/>
    </row>
    <row r="23" spans="1:35" ht="20.100000000000001" customHeight="1">
      <c r="A23" s="85"/>
      <c r="B23" s="150">
        <v>19</v>
      </c>
      <c r="C23" s="92" t="str">
        <f ca="1">language!A388</f>
        <v>Класс фланца по давлению</v>
      </c>
      <c r="D23" s="88"/>
      <c r="E23" s="721" t="e">
        <f>IF(LEFT('Page2|Страница 2'!M16,4)="ANSI",RIGHT('Page2|Страница 2'!M16,LEN('Page2|Страница 2'!M16)-5),IF(OR(LEFT('Page2|Страница 2'!M16,4)="ГОСТ",LEFT('Page2|Страница 2'!M16,4)="GOST"),RIGHT('Page2|Страница 2'!M16,LEN('Page2|Страница 2'!M16)-15),RIGHT('Page2|Страница 2'!M16,LEN('Page2|Страница 2'!M16)-7)))</f>
        <v>#VALUE!</v>
      </c>
      <c r="F23" s="722"/>
      <c r="G23" s="723"/>
      <c r="H23" s="155">
        <v>71</v>
      </c>
      <c r="I23" s="171" t="str">
        <f>CONCATENATE("     ",IF(OR(Output_config_2=4,Output_config_2=5,Output_config_2=7),language!A441,""))</f>
        <v xml:space="preserve">     </v>
      </c>
      <c r="J23" s="100" t="str">
        <f>IF(OR(Output_config_2=4,Output_config_2=5,Output_config_2=7),'Page3|Страница 3'!P70,"")</f>
        <v/>
      </c>
      <c r="K23" s="143" t="str">
        <f>IF(OR(Output_config_2=4,Output_config_2=5,Output_config_2=7),'Page3|Страница 3'!L70,"")</f>
        <v/>
      </c>
      <c r="L23" s="144"/>
      <c r="M23" s="145"/>
      <c r="N23" s="290" t="b">
        <v>0</v>
      </c>
      <c r="O23" s="247"/>
      <c r="P23" s="247"/>
      <c r="Q23" s="247"/>
      <c r="R23" s="247"/>
      <c r="S23" s="247"/>
      <c r="T23" s="247"/>
      <c r="U23" s="253"/>
      <c r="V23" s="247"/>
      <c r="W23" s="247"/>
      <c r="X23" s="247"/>
      <c r="Y23" s="247"/>
      <c r="Z23" s="247"/>
      <c r="AA23" s="247"/>
      <c r="AB23" s="247"/>
      <c r="AC23" s="247"/>
      <c r="AD23" s="80"/>
      <c r="AE23" s="80"/>
      <c r="AF23" s="80"/>
      <c r="AG23" s="80"/>
      <c r="AH23" s="80"/>
      <c r="AI23" s="80"/>
    </row>
    <row r="24" spans="1:35" ht="20.100000000000001" customHeight="1">
      <c r="A24" s="85"/>
      <c r="B24" s="150">
        <v>20</v>
      </c>
      <c r="C24" s="92" t="str">
        <f ca="1">language!A389</f>
        <v xml:space="preserve">Тип уплотнительной поверхности фланца </v>
      </c>
      <c r="D24" s="88"/>
      <c r="E24" s="721">
        <f ca="1">IF('Page2|Страница 2'!M20=Flanschnorm1,'Page2|Страница 2'!M22,IF('Page2|Страница 2'!M20=language!A176,IF(langchoose&lt;&gt;"Russian",CONCATENATE(LEFT('Page2|Страница 2'!M20,11)," / ",'Page2|Страница 2'!AC20),CONCATENATE(LEFT('Page2|Страница 2'!M20,2)," / ",'Page2|Страница 2'!AC20)),IF('Page2|Страница 2'!M20=language!A201,CONCATENATE('Page2|Страница 2'!M20," / ",'Page2|Страница 2'!AC20),'Page2|Страница 2'!M20)))</f>
        <v>0</v>
      </c>
      <c r="F24" s="722"/>
      <c r="G24" s="723"/>
      <c r="H24" s="166">
        <v>72</v>
      </c>
      <c r="I24" s="101" t="str">
        <f ca="1">CONCATENATE(language!A442," (", 'Page3|Страница 3'!E50,")")</f>
        <v>MOD Клеммы 33/34 ()</v>
      </c>
      <c r="J24" s="102"/>
      <c r="K24" s="736">
        <f>'Page3|Страница 3'!K50:Y50</f>
        <v>0</v>
      </c>
      <c r="L24" s="737"/>
      <c r="M24" s="738"/>
      <c r="N24" s="249"/>
      <c r="O24" s="247"/>
      <c r="P24" s="247"/>
      <c r="Q24" s="247"/>
      <c r="R24" s="247"/>
      <c r="S24" s="247"/>
      <c r="T24" s="247"/>
      <c r="U24" s="247"/>
      <c r="V24" s="247"/>
      <c r="W24" s="247"/>
      <c r="X24" s="247"/>
      <c r="Y24" s="247"/>
      <c r="Z24" s="247"/>
      <c r="AA24" s="247"/>
      <c r="AB24" s="247"/>
      <c r="AC24" s="247"/>
      <c r="AD24" s="80"/>
      <c r="AE24" s="80"/>
      <c r="AF24" s="80"/>
      <c r="AG24" s="80"/>
      <c r="AH24" s="80"/>
      <c r="AI24" s="80"/>
    </row>
    <row r="25" spans="1:35" ht="20.100000000000001" customHeight="1">
      <c r="A25" s="85"/>
      <c r="B25" s="150">
        <v>21</v>
      </c>
      <c r="C25" s="92" t="str">
        <f ca="1">language!A390</f>
        <v>Материал корпуса</v>
      </c>
      <c r="D25" s="88"/>
      <c r="E25" s="786" t="str">
        <f ca="1">CONCATENATE('Page2|Страница 2'!M12,IF('Page2|Страница 2'!M12=language!A223,":"&amp;" "&amp;'Page2|Страница 2'!V12,""))</f>
        <v/>
      </c>
      <c r="F25" s="787"/>
      <c r="G25" s="788"/>
      <c r="H25" s="157">
        <v>73</v>
      </c>
      <c r="I25" s="101" t="str">
        <f ca="1">CONCATENATE(language!A443," (",'Page3|Страница 3'!E53,")")</f>
        <v>DO1 Клеммы 51/52 ()</v>
      </c>
      <c r="J25" s="102"/>
      <c r="K25" s="688">
        <f>'Page3|Страница 3'!K53:Y53</f>
        <v>0</v>
      </c>
      <c r="L25" s="689"/>
      <c r="M25" s="690"/>
      <c r="N25" s="249"/>
      <c r="O25" s="247"/>
      <c r="P25" s="247"/>
      <c r="Q25" s="247"/>
      <c r="R25" s="247"/>
      <c r="S25" s="247"/>
      <c r="T25" s="247"/>
      <c r="U25" s="247"/>
      <c r="V25" s="247"/>
      <c r="W25" s="247"/>
      <c r="X25" s="247"/>
      <c r="Y25" s="247"/>
      <c r="Z25" s="247"/>
      <c r="AA25" s="247"/>
      <c r="AB25" s="247"/>
      <c r="AC25" s="247"/>
      <c r="AD25" s="80"/>
      <c r="AE25" s="80"/>
      <c r="AF25" s="80"/>
      <c r="AG25" s="80"/>
      <c r="AH25" s="80"/>
      <c r="AI25" s="80"/>
    </row>
    <row r="26" spans="1:35" ht="20.100000000000001" customHeight="1">
      <c r="A26" s="85"/>
      <c r="B26" s="150">
        <v>22</v>
      </c>
      <c r="C26" s="92" t="str">
        <f ca="1">language!A391</f>
        <v>Замена приемопередатчиков под давлением</v>
      </c>
      <c r="D26" s="88"/>
      <c r="E26" s="721">
        <f>'Page2|Страница 2'!T46</f>
        <v>0</v>
      </c>
      <c r="F26" s="722"/>
      <c r="G26" s="723"/>
      <c r="H26" s="150">
        <v>74</v>
      </c>
      <c r="I26" s="170" t="str">
        <f ca="1">CONCATENATE("     ",IF(Output_config_2=5,"",language!A444))</f>
        <v xml:space="preserve">     Вес импульса (пок. измерений)</v>
      </c>
      <c r="J26" s="94"/>
      <c r="K26" s="748">
        <f>IF(Output_config_2=5,"",'Page3|Страница 3'!Z66)</f>
        <v>0</v>
      </c>
      <c r="L26" s="749"/>
      <c r="M26" s="750"/>
      <c r="N26" s="249"/>
      <c r="O26" s="247"/>
      <c r="P26" s="247"/>
      <c r="Q26" s="247"/>
      <c r="R26" s="247"/>
      <c r="S26" s="247"/>
      <c r="T26" s="247"/>
      <c r="U26" s="247"/>
      <c r="V26" s="247"/>
      <c r="W26" s="247"/>
      <c r="X26" s="247"/>
      <c r="Y26" s="247"/>
      <c r="Z26" s="247"/>
      <c r="AA26" s="247"/>
      <c r="AB26" s="247"/>
      <c r="AC26" s="247"/>
      <c r="AD26" s="80"/>
      <c r="AE26" s="80"/>
      <c r="AF26" s="80"/>
      <c r="AG26" s="80"/>
      <c r="AH26" s="80"/>
      <c r="AI26" s="80"/>
    </row>
    <row r="27" spans="1:35" ht="20.100000000000001" customHeight="1">
      <c r="A27" s="85"/>
      <c r="B27" s="150">
        <v>23</v>
      </c>
      <c r="C27" s="92" t="str">
        <f ca="1">language!A392</f>
        <v>Материал кожуха приемопередатчиков</v>
      </c>
      <c r="D27" s="88"/>
      <c r="E27" s="715">
        <f>'Page2|Страница 2'!M24</f>
        <v>0</v>
      </c>
      <c r="F27" s="716"/>
      <c r="G27" s="717"/>
      <c r="H27" s="157">
        <v>75</v>
      </c>
      <c r="I27" s="169" t="str">
        <f ca="1">CONCATENATE("     ",language!A445)</f>
        <v xml:space="preserve">     Конфигурация сигнала</v>
      </c>
      <c r="J27" s="103"/>
      <c r="K27" s="721" t="str">
        <f>CONCATENATE('Page3|Страница 3'!Z53," / ",'Page3|Страница 3'!AE53)</f>
        <v xml:space="preserve"> / </v>
      </c>
      <c r="L27" s="722"/>
      <c r="M27" s="723"/>
      <c r="N27" s="290">
        <v>0</v>
      </c>
      <c r="O27" s="247"/>
      <c r="P27" s="247"/>
      <c r="Q27" s="247"/>
      <c r="R27" s="247"/>
      <c r="S27" s="247"/>
      <c r="T27" s="247"/>
      <c r="U27" s="247"/>
      <c r="V27" s="247"/>
      <c r="W27" s="247"/>
      <c r="X27" s="247"/>
      <c r="Y27" s="247"/>
      <c r="Z27" s="247"/>
      <c r="AA27" s="247"/>
      <c r="AB27" s="247"/>
      <c r="AC27" s="247"/>
      <c r="AD27" s="80"/>
      <c r="AE27" s="80"/>
      <c r="AF27" s="80"/>
      <c r="AG27" s="80"/>
      <c r="AH27" s="80"/>
      <c r="AI27" s="80"/>
    </row>
    <row r="28" spans="1:35" ht="20.100000000000001" customHeight="1">
      <c r="B28" s="150">
        <v>24</v>
      </c>
      <c r="C28" s="92" t="str">
        <f ca="1">language!A393</f>
        <v>Расчетная температура</v>
      </c>
      <c r="D28" s="94" t="str">
        <f>'Page2|Страница 2'!S28</f>
        <v>°C</v>
      </c>
      <c r="E28" s="702" t="str">
        <f>CONCATENATE('Page2|Страница 2'!M28," ... ",'Page2|Страница 2'!AE28)</f>
        <v xml:space="preserve"> ... </v>
      </c>
      <c r="F28" s="697"/>
      <c r="G28" s="698"/>
      <c r="H28" s="155">
        <v>76</v>
      </c>
      <c r="I28" s="172" t="str">
        <f ca="1">CONCATENATE("     ",language!A446)</f>
        <v xml:space="preserve">     макс. выход</v>
      </c>
      <c r="J28" s="104"/>
      <c r="K28" s="693" t="str">
        <f ca="1">IF('Page3|Страница 3'!Z53=language!A329,"0...30 V / 0...100 mA",IF('Page3|Страница 3'!Z53=language!A328,"8,2 V / 0,8...6,5 mA",""))</f>
        <v/>
      </c>
      <c r="L28" s="694"/>
      <c r="M28" s="695"/>
      <c r="N28" s="254"/>
      <c r="O28" s="247"/>
      <c r="P28" s="247"/>
      <c r="Q28" s="247"/>
      <c r="R28" s="247"/>
      <c r="S28" s="247"/>
      <c r="T28" s="247"/>
      <c r="U28" s="247"/>
      <c r="V28" s="247"/>
      <c r="W28" s="247"/>
      <c r="X28" s="247"/>
      <c r="Y28" s="247"/>
      <c r="Z28" s="247"/>
      <c r="AA28" s="247"/>
      <c r="AB28" s="247"/>
      <c r="AC28" s="247"/>
      <c r="AD28" s="80"/>
      <c r="AE28" s="80"/>
      <c r="AF28" s="80"/>
      <c r="AG28" s="80"/>
      <c r="AH28" s="80"/>
      <c r="AI28" s="80"/>
    </row>
    <row r="29" spans="1:35" ht="20.100000000000001" customHeight="1">
      <c r="B29" s="150">
        <v>25</v>
      </c>
      <c r="C29" s="92" t="str">
        <f ca="1">language!A394</f>
        <v>Расчетное давление (избыточное)</v>
      </c>
      <c r="D29" s="94" t="str">
        <f>'Page2|Страница 2'!S30</f>
        <v>бар(и)</v>
      </c>
      <c r="E29" s="721">
        <f>'Page2|Страница 2'!M30</f>
        <v>0</v>
      </c>
      <c r="F29" s="722"/>
      <c r="G29" s="723"/>
      <c r="H29" s="157">
        <v>77</v>
      </c>
      <c r="I29" s="101" t="str">
        <f ca="1">CONCATENATE(language!A447," (",'Page3|Страница 3'!E56,")")</f>
        <v>DO2 Клеммы 41/42 ()</v>
      </c>
      <c r="J29" s="102"/>
      <c r="K29" s="688">
        <f>'Page3|Страница 3'!K56:Y56</f>
        <v>0</v>
      </c>
      <c r="L29" s="689"/>
      <c r="M29" s="690"/>
      <c r="N29" s="249"/>
      <c r="O29" s="247"/>
      <c r="P29" s="247"/>
      <c r="Q29" s="247"/>
      <c r="R29" s="247"/>
      <c r="S29" s="247"/>
      <c r="T29" s="247"/>
      <c r="U29" s="247"/>
      <c r="V29" s="247"/>
      <c r="W29" s="247"/>
      <c r="X29" s="247"/>
      <c r="Y29" s="247"/>
      <c r="Z29" s="247"/>
      <c r="AA29" s="247"/>
      <c r="AB29" s="247"/>
      <c r="AC29" s="247"/>
      <c r="AD29" s="80"/>
      <c r="AE29" s="80"/>
      <c r="AF29" s="80"/>
      <c r="AG29" s="80"/>
      <c r="AH29" s="80"/>
      <c r="AI29" s="80"/>
    </row>
    <row r="30" spans="1:35" ht="20.100000000000001" customHeight="1">
      <c r="A30" s="85"/>
      <c r="B30" s="150">
        <v>26</v>
      </c>
      <c r="C30" s="92" t="str">
        <f ca="1">language!A395</f>
        <v>Сертификат на материал</v>
      </c>
      <c r="D30" s="88"/>
      <c r="E30" s="721">
        <f>'Page2|Страница 2'!M26</f>
        <v>0</v>
      </c>
      <c r="F30" s="722"/>
      <c r="G30" s="723"/>
      <c r="H30" s="150">
        <v>78</v>
      </c>
      <c r="I30" s="169" t="str">
        <f ca="1">CONCATENATE("     ",language!A448)</f>
        <v xml:space="preserve">     Конфигурация сигнала</v>
      </c>
      <c r="J30" s="97"/>
      <c r="K30" s="721" t="str">
        <f>CONCATENATE('Page3|Страница 3'!Z56," / ",'Page3|Страница 3'!AE56)</f>
        <v xml:space="preserve"> / </v>
      </c>
      <c r="L30" s="722"/>
      <c r="M30" s="723"/>
      <c r="N30" s="249"/>
      <c r="O30" s="247"/>
      <c r="P30" s="247"/>
      <c r="Q30" s="247"/>
      <c r="R30" s="247"/>
      <c r="S30" s="247"/>
      <c r="T30" s="247"/>
      <c r="U30" s="247"/>
      <c r="V30" s="247"/>
      <c r="W30" s="247"/>
      <c r="X30" s="247"/>
      <c r="Y30" s="247"/>
      <c r="Z30" s="247"/>
      <c r="AA30" s="247"/>
      <c r="AB30" s="247"/>
      <c r="AC30" s="247"/>
      <c r="AD30" s="80"/>
      <c r="AE30" s="80"/>
      <c r="AF30" s="80"/>
      <c r="AG30" s="80"/>
      <c r="AH30" s="80"/>
      <c r="AI30" s="80"/>
    </row>
    <row r="31" spans="1:35" ht="20.100000000000001" customHeight="1">
      <c r="A31" s="85"/>
      <c r="B31" s="150">
        <v>27</v>
      </c>
      <c r="C31" s="92" t="str">
        <f ca="1">language!A396</f>
        <v>Степень защиты</v>
      </c>
      <c r="D31" s="88"/>
      <c r="E31" s="703" t="s">
        <v>777</v>
      </c>
      <c r="F31" s="704"/>
      <c r="G31" s="705"/>
      <c r="H31" s="155">
        <v>79</v>
      </c>
      <c r="I31" s="172" t="str">
        <f ca="1">CONCATENATE("     ",language!A449)</f>
        <v xml:space="preserve">     макс. выход</v>
      </c>
      <c r="J31" s="104"/>
      <c r="K31" s="693" t="str">
        <f ca="1">IF('Page3|Страница 3'!Z56=language!A329,"0...30 V / 0...100 mA",IF('Page3|Страница 3'!Z56=language!A328,"8,2 V / 0,8...6,5 mA",""))</f>
        <v/>
      </c>
      <c r="L31" s="694"/>
      <c r="M31" s="695"/>
      <c r="N31" s="249"/>
      <c r="O31" s="247"/>
      <c r="P31" s="247"/>
      <c r="Q31" s="247"/>
      <c r="R31" s="247"/>
      <c r="S31" s="247"/>
      <c r="T31" s="247"/>
      <c r="U31" s="247"/>
      <c r="V31" s="247"/>
      <c r="W31" s="247"/>
      <c r="X31" s="247"/>
      <c r="Y31" s="247"/>
      <c r="Z31" s="247"/>
      <c r="AA31" s="247"/>
      <c r="AB31" s="247"/>
      <c r="AC31" s="247"/>
      <c r="AD31" s="80"/>
      <c r="AE31" s="80"/>
      <c r="AF31" s="80"/>
      <c r="AG31" s="80"/>
      <c r="AH31" s="80"/>
      <c r="AI31" s="80"/>
    </row>
    <row r="32" spans="1:35" ht="20.100000000000001" customHeight="1">
      <c r="A32" s="85"/>
      <c r="B32" s="150">
        <v>28</v>
      </c>
      <c r="C32" s="92" t="str">
        <f ca="1">language!A397</f>
        <v>Внешнее покрытие/ покраска</v>
      </c>
      <c r="D32" s="88"/>
      <c r="E32" s="706">
        <f ca="1">IF('Page2|Страница 2'!T36=language!A231,language!A233,'Page2|Страница 2'!T36)</f>
        <v>0</v>
      </c>
      <c r="F32" s="707"/>
      <c r="G32" s="708"/>
      <c r="H32" s="157">
        <v>80</v>
      </c>
      <c r="I32" s="101" t="str">
        <f ca="1">CONCATENATE(language!A450," (",'Page3|Страница 3'!E59,")")</f>
        <v>DO3 Клеммы 81/82 ()</v>
      </c>
      <c r="J32" s="102"/>
      <c r="K32" s="688">
        <f>'Page3|Страница 3'!K59</f>
        <v>0</v>
      </c>
      <c r="L32" s="689"/>
      <c r="M32" s="690"/>
      <c r="N32" s="249"/>
      <c r="O32" s="247"/>
      <c r="P32" s="247"/>
      <c r="Q32" s="247"/>
      <c r="R32" s="247"/>
      <c r="S32" s="247"/>
      <c r="T32" s="247"/>
      <c r="U32" s="247"/>
      <c r="V32" s="247"/>
      <c r="W32" s="247"/>
      <c r="X32" s="247"/>
      <c r="Y32" s="247"/>
      <c r="Z32" s="247"/>
      <c r="AA32" s="247"/>
      <c r="AB32" s="247"/>
      <c r="AC32" s="247"/>
      <c r="AD32" s="80"/>
      <c r="AE32" s="80"/>
      <c r="AF32" s="80"/>
      <c r="AG32" s="80"/>
      <c r="AH32" s="80"/>
      <c r="AI32" s="80"/>
    </row>
    <row r="33" spans="1:35" ht="20.100000000000001" customHeight="1">
      <c r="A33" s="85"/>
      <c r="B33" s="150">
        <v>29</v>
      </c>
      <c r="C33" s="268" t="str">
        <f ca="1">language!A398</f>
        <v>Отбор давления на корпусе</v>
      </c>
      <c r="D33" s="88"/>
      <c r="E33" s="702" t="str">
        <f>'Page2|Страница 2'!T32</f>
        <v>1 х 1/4'' NPT</v>
      </c>
      <c r="F33" s="697"/>
      <c r="G33" s="698"/>
      <c r="H33" s="150">
        <v>81</v>
      </c>
      <c r="I33" s="169" t="str">
        <f ca="1">CONCATENATE("     ",IF(AND(Output_config_2&lt;&gt;2,Output_config_2&lt;&gt;7,Output_config_2&lt;&gt;9,Output_config_2&lt;&gt;11),language!A451,""))</f>
        <v xml:space="preserve">     Конфигурация сигнала</v>
      </c>
      <c r="J33" s="97"/>
      <c r="K33" s="721" t="str">
        <f>IF(OR(Output_config_2=2,Output_config_2=7,Output_config_2=9,Output_config_2=11),"",CONCATENATE('Page3|Страница 3'!Z59," / ",'Page3|Страница 3'!AE59))</f>
        <v xml:space="preserve"> / </v>
      </c>
      <c r="L33" s="722"/>
      <c r="M33" s="723"/>
      <c r="N33" s="249"/>
      <c r="O33" s="247"/>
      <c r="P33" s="247"/>
      <c r="Q33" s="247"/>
      <c r="R33" s="247"/>
      <c r="S33" s="247"/>
      <c r="T33" s="247"/>
      <c r="U33" s="247"/>
      <c r="V33" s="247"/>
      <c r="W33" s="247"/>
      <c r="X33" s="247"/>
      <c r="Y33" s="247"/>
      <c r="Z33" s="247"/>
      <c r="AA33" s="247"/>
      <c r="AB33" s="247"/>
      <c r="AC33" s="247"/>
      <c r="AD33" s="80"/>
      <c r="AE33" s="80"/>
      <c r="AF33" s="80"/>
      <c r="AG33" s="80"/>
      <c r="AH33" s="80"/>
      <c r="AI33" s="80"/>
    </row>
    <row r="34" spans="1:35" ht="20.100000000000001" customHeight="1" thickBot="1">
      <c r="A34" s="85"/>
      <c r="B34" s="153"/>
      <c r="C34" s="269" t="str">
        <f>IF('Page2|Страница 2'!M32=painting_E,CONCATENATE("     ",language!A520),"")</f>
        <v/>
      </c>
      <c r="D34" s="270" t="str">
        <f>IF('Page2|Страница 2'!M32=painting_E,Druckentnahme_Anzahl,"")</f>
        <v/>
      </c>
      <c r="E34" s="783" t="str">
        <f>IF('Page2|Страница 2'!M32=painting_E,CONCATENATE(Druckentnahme_Anmerkungen_lang,": ",Druckentnahme_Anmerkungen),"")</f>
        <v/>
      </c>
      <c r="F34" s="784"/>
      <c r="G34" s="785"/>
      <c r="H34" s="153"/>
      <c r="I34" s="263"/>
      <c r="J34" s="264"/>
      <c r="K34" s="265"/>
      <c r="L34" s="266"/>
      <c r="M34" s="267"/>
      <c r="N34" s="249"/>
      <c r="O34" s="247"/>
      <c r="P34" s="247"/>
      <c r="Q34" s="247"/>
      <c r="R34" s="247"/>
      <c r="S34" s="247"/>
      <c r="T34" s="247"/>
      <c r="U34" s="247"/>
      <c r="V34" s="247"/>
      <c r="W34" s="247"/>
      <c r="X34" s="247"/>
      <c r="Y34" s="247"/>
      <c r="Z34" s="247"/>
      <c r="AA34" s="247"/>
      <c r="AB34" s="247"/>
      <c r="AC34" s="247"/>
      <c r="AD34" s="80"/>
      <c r="AE34" s="80"/>
      <c r="AF34" s="80"/>
      <c r="AG34" s="80"/>
      <c r="AH34" s="80"/>
      <c r="AI34" s="80"/>
    </row>
    <row r="35" spans="1:35" ht="20.100000000000001" customHeight="1">
      <c r="A35" s="85"/>
      <c r="B35" s="149">
        <v>30</v>
      </c>
      <c r="C35" s="675" t="str">
        <f ca="1">language!A400</f>
        <v>Ультразвуковые приемопередатчики</v>
      </c>
      <c r="D35" s="676"/>
      <c r="E35" s="676"/>
      <c r="F35" s="676"/>
      <c r="G35" s="677"/>
      <c r="H35" s="166">
        <v>82</v>
      </c>
      <c r="I35" s="172" t="str">
        <f ca="1">CONCATENATE("     ",IF(AND(Output_config_2&lt;&gt;2,Output_config_2&lt;&gt;7,Output_config_2&lt;&gt;9,Output_config_2&lt;&gt;11),language!A452,""))</f>
        <v xml:space="preserve">     макс. выход</v>
      </c>
      <c r="J35" s="104"/>
      <c r="K35" s="693" t="str">
        <f ca="1">IF('Page3|Страница 3'!Z59=language!A329,"0...30 V / 0...100 mA",IF('Page3|Страница 3'!Z59=language!A328,"8,2 V / 0,8...6,5 mA",""))</f>
        <v/>
      </c>
      <c r="L35" s="694"/>
      <c r="M35" s="695"/>
      <c r="N35" s="255"/>
      <c r="O35" s="247"/>
      <c r="P35" s="247"/>
      <c r="Q35" s="247"/>
      <c r="R35" s="247"/>
      <c r="S35" s="247"/>
      <c r="T35" s="247"/>
      <c r="U35" s="247"/>
      <c r="V35" s="247"/>
      <c r="W35" s="247"/>
      <c r="X35" s="247"/>
      <c r="Y35" s="247"/>
      <c r="Z35" s="247"/>
      <c r="AA35" s="247"/>
      <c r="AB35" s="247"/>
      <c r="AC35" s="247"/>
      <c r="AD35" s="80"/>
      <c r="AE35" s="80"/>
      <c r="AF35" s="80"/>
      <c r="AG35" s="80"/>
      <c r="AH35" s="80"/>
      <c r="AI35" s="80"/>
    </row>
    <row r="36" spans="1:35" ht="20.100000000000001" customHeight="1">
      <c r="A36" s="85"/>
      <c r="B36" s="150">
        <v>31</v>
      </c>
      <c r="C36" s="696"/>
      <c r="D36" s="697"/>
      <c r="E36" s="697"/>
      <c r="F36" s="697"/>
      <c r="G36" s="698"/>
      <c r="H36" s="157">
        <v>83</v>
      </c>
      <c r="I36" s="699" t="str">
        <f ca="1">language!A454</f>
        <v>Коммуникация</v>
      </c>
      <c r="J36" s="700"/>
      <c r="K36" s="700"/>
      <c r="L36" s="700"/>
      <c r="M36" s="701"/>
      <c r="N36" s="255"/>
      <c r="O36" s="247"/>
      <c r="P36" s="247"/>
      <c r="Q36" s="247"/>
      <c r="R36" s="247"/>
      <c r="S36" s="247"/>
      <c r="T36" s="247"/>
      <c r="U36" s="247"/>
      <c r="V36" s="247"/>
      <c r="W36" s="247"/>
      <c r="X36" s="247"/>
      <c r="Y36" s="247"/>
      <c r="Z36" s="247"/>
      <c r="AA36" s="247"/>
      <c r="AB36" s="247"/>
      <c r="AC36" s="247"/>
      <c r="AD36" s="80"/>
      <c r="AE36" s="80"/>
      <c r="AF36" s="80"/>
      <c r="AG36" s="80"/>
      <c r="AH36" s="80"/>
      <c r="AI36" s="80"/>
    </row>
    <row r="37" spans="1:35" ht="20.100000000000001" customHeight="1">
      <c r="A37" s="85"/>
      <c r="B37" s="150">
        <v>32</v>
      </c>
      <c r="C37" s="92" t="str">
        <f ca="1">language!A401</f>
        <v>Материал приемопередатчиков</v>
      </c>
      <c r="D37" s="93"/>
      <c r="E37" s="715"/>
      <c r="F37" s="716"/>
      <c r="G37" s="717"/>
      <c r="H37" s="150">
        <v>84</v>
      </c>
      <c r="I37" s="696" t="str">
        <f ca="1">language!A455</f>
        <v>Интерфейс</v>
      </c>
      <c r="J37" s="782"/>
      <c r="K37" s="715" t="str">
        <f>IF(OR("SICK Modbus ASCII"=IO_Signal_81_82,"SICK Modbus RTU"=IO_Signal_81_82,"GENERIC Modbus ASCII"=IO_Signal_81_82,"GENERIC Modbus RTU"=IO_Signal_81_82),"2x RS 485","RS 485")</f>
        <v>RS 485</v>
      </c>
      <c r="L37" s="716"/>
      <c r="M37" s="717"/>
      <c r="N37" s="255"/>
      <c r="O37" s="247"/>
      <c r="P37" s="247"/>
      <c r="Q37" s="247"/>
      <c r="R37" s="247"/>
      <c r="S37" s="247"/>
      <c r="T37" s="247"/>
      <c r="U37" s="247"/>
      <c r="V37" s="247"/>
      <c r="W37" s="247"/>
      <c r="X37" s="247"/>
      <c r="Y37" s="247"/>
      <c r="Z37" s="247"/>
      <c r="AA37" s="247"/>
      <c r="AB37" s="247"/>
      <c r="AC37" s="247"/>
      <c r="AD37" s="80"/>
      <c r="AE37" s="80"/>
      <c r="AF37" s="80"/>
      <c r="AG37" s="80"/>
      <c r="AH37" s="80"/>
      <c r="AI37" s="80"/>
    </row>
    <row r="38" spans="1:35" ht="20.100000000000001" customHeight="1" thickBot="1">
      <c r="B38" s="152">
        <v>33</v>
      </c>
      <c r="C38" s="696"/>
      <c r="D38" s="697"/>
      <c r="E38" s="697"/>
      <c r="F38" s="697"/>
      <c r="G38" s="698"/>
      <c r="H38" s="151">
        <v>85</v>
      </c>
      <c r="I38" s="691" t="str">
        <f ca="1">language!A456</f>
        <v>Протокол</v>
      </c>
      <c r="J38" s="692"/>
      <c r="K38" s="776">
        <f>'Page3|Страница 3'!K50</f>
        <v>0</v>
      </c>
      <c r="L38" s="777"/>
      <c r="M38" s="778"/>
      <c r="N38" s="249"/>
      <c r="O38" s="247"/>
      <c r="P38" s="247"/>
      <c r="Q38" s="247"/>
      <c r="R38" s="247"/>
      <c r="S38" s="247"/>
      <c r="T38" s="247"/>
      <c r="U38" s="247"/>
      <c r="V38" s="247"/>
      <c r="W38" s="247"/>
      <c r="X38" s="247"/>
      <c r="Y38" s="247"/>
      <c r="Z38" s="247"/>
      <c r="AA38" s="247"/>
      <c r="AB38" s="247"/>
      <c r="AC38" s="247"/>
      <c r="AD38" s="80"/>
      <c r="AE38" s="80"/>
      <c r="AF38" s="80"/>
      <c r="AG38" s="80"/>
      <c r="AH38" s="80"/>
      <c r="AI38" s="80"/>
    </row>
    <row r="39" spans="1:35" ht="20.100000000000001" customHeight="1" thickBot="1">
      <c r="B39" s="151">
        <v>34</v>
      </c>
      <c r="C39" s="709"/>
      <c r="D39" s="710"/>
      <c r="E39" s="710"/>
      <c r="F39" s="710"/>
      <c r="G39" s="711"/>
      <c r="H39" s="167">
        <v>86</v>
      </c>
      <c r="I39" s="675" t="str">
        <f>IF(OR($E$19="4+4",$E$19="4+1"),CONCATENATE(language!A435," 2"),"")</f>
        <v/>
      </c>
      <c r="J39" s="676"/>
      <c r="K39" s="676"/>
      <c r="L39" s="676"/>
      <c r="M39" s="677"/>
      <c r="N39" s="249"/>
      <c r="O39" s="247"/>
      <c r="P39" s="247"/>
      <c r="Q39" s="247"/>
      <c r="R39" s="247"/>
      <c r="S39" s="247"/>
      <c r="T39" s="247"/>
      <c r="U39" s="247"/>
      <c r="V39" s="247"/>
      <c r="W39" s="247"/>
      <c r="X39" s="247"/>
      <c r="Y39" s="247"/>
      <c r="Z39" s="247"/>
      <c r="AA39" s="247"/>
      <c r="AB39" s="247"/>
      <c r="AC39" s="247"/>
      <c r="AD39" s="80"/>
      <c r="AE39" s="80"/>
      <c r="AF39" s="80"/>
      <c r="AG39" s="80"/>
      <c r="AH39" s="80"/>
      <c r="AI39" s="80"/>
    </row>
    <row r="40" spans="1:35" ht="20.100000000000001" customHeight="1">
      <c r="A40" s="85"/>
      <c r="B40" s="149">
        <v>35</v>
      </c>
      <c r="C40" s="675" t="str">
        <f ca="1">language!A403</f>
        <v>Дополнительная информация: Параметры процесса и условия эксплуатации</v>
      </c>
      <c r="D40" s="676"/>
      <c r="E40" s="676"/>
      <c r="F40" s="676"/>
      <c r="G40" s="677"/>
      <c r="H40" s="165">
        <v>87</v>
      </c>
      <c r="I40" s="95" t="str">
        <f t="shared" ref="I40:I55" si="0">IF(OR($E$19="4+4",$E$19="4+1"),I18,"")</f>
        <v/>
      </c>
      <c r="J40" s="96"/>
      <c r="K40" s="721" t="str">
        <f t="shared" ref="K40:K55" si="1">IF(OR($E$19="4+4",$E$19="4+1"),K18,"")</f>
        <v/>
      </c>
      <c r="L40" s="722"/>
      <c r="M40" s="723"/>
      <c r="N40" s="249"/>
      <c r="O40" s="247"/>
      <c r="P40" s="247"/>
      <c r="Q40" s="247"/>
      <c r="R40" s="247"/>
      <c r="S40" s="247"/>
      <c r="T40" s="247"/>
      <c r="U40" s="247"/>
      <c r="V40" s="247"/>
      <c r="W40" s="247"/>
      <c r="X40" s="247"/>
      <c r="Y40" s="247"/>
      <c r="Z40" s="247"/>
      <c r="AA40" s="247"/>
      <c r="AB40" s="247"/>
      <c r="AC40" s="247"/>
      <c r="AD40" s="80"/>
      <c r="AE40" s="80"/>
      <c r="AF40" s="80"/>
      <c r="AG40" s="80"/>
      <c r="AH40" s="80"/>
      <c r="AI40" s="80"/>
    </row>
    <row r="41" spans="1:35" ht="20.100000000000001" customHeight="1">
      <c r="A41" s="85"/>
      <c r="B41" s="150">
        <v>36</v>
      </c>
      <c r="C41" s="773"/>
      <c r="D41" s="774"/>
      <c r="E41" s="774"/>
      <c r="F41" s="774"/>
      <c r="G41" s="775"/>
      <c r="H41" s="165">
        <v>88</v>
      </c>
      <c r="I41" s="169" t="str">
        <f t="shared" si="0"/>
        <v/>
      </c>
      <c r="J41" s="97"/>
      <c r="K41" s="721" t="str">
        <f t="shared" si="1"/>
        <v/>
      </c>
      <c r="L41" s="722"/>
      <c r="M41" s="723"/>
      <c r="N41" s="249"/>
      <c r="O41" s="247"/>
      <c r="P41" s="247"/>
      <c r="Q41" s="247"/>
      <c r="R41" s="247"/>
      <c r="S41" s="247"/>
      <c r="T41" s="247"/>
      <c r="U41" s="247"/>
      <c r="V41" s="247"/>
      <c r="W41" s="247"/>
      <c r="X41" s="247"/>
      <c r="Y41" s="247"/>
      <c r="Z41" s="247"/>
      <c r="AA41" s="247"/>
      <c r="AB41" s="247"/>
      <c r="AC41" s="247"/>
      <c r="AD41" s="80"/>
      <c r="AE41" s="80"/>
      <c r="AF41" s="80"/>
      <c r="AG41" s="80"/>
      <c r="AH41" s="80"/>
      <c r="AI41" s="80"/>
    </row>
    <row r="42" spans="1:35" ht="20.100000000000001" customHeight="1">
      <c r="A42" s="85"/>
      <c r="B42" s="152">
        <v>37</v>
      </c>
      <c r="C42" s="789"/>
      <c r="D42" s="790"/>
      <c r="E42" s="106" t="str">
        <f ca="1">language!A410</f>
        <v>мин.</v>
      </c>
      <c r="F42" s="223" t="str">
        <f ca="1">language!A411</f>
        <v>норм.</v>
      </c>
      <c r="G42" s="223" t="str">
        <f ca="1">language!A412</f>
        <v>макс.</v>
      </c>
      <c r="H42" s="165">
        <v>89</v>
      </c>
      <c r="I42" s="169" t="str">
        <f t="shared" si="0"/>
        <v/>
      </c>
      <c r="J42" s="97"/>
      <c r="K42" s="721" t="str">
        <f t="shared" si="1"/>
        <v/>
      </c>
      <c r="L42" s="722"/>
      <c r="M42" s="723"/>
      <c r="N42" s="249"/>
      <c r="O42" s="247"/>
      <c r="P42" s="247"/>
      <c r="Q42" s="247"/>
      <c r="R42" s="247"/>
      <c r="S42" s="247"/>
      <c r="T42" s="247"/>
      <c r="U42" s="247"/>
      <c r="V42" s="247"/>
      <c r="W42" s="247"/>
      <c r="X42" s="247"/>
      <c r="Y42" s="247"/>
      <c r="Z42" s="247"/>
      <c r="AA42" s="247"/>
      <c r="AB42" s="247"/>
      <c r="AC42" s="247"/>
      <c r="AD42" s="80"/>
      <c r="AE42" s="80"/>
      <c r="AF42" s="80"/>
      <c r="AG42" s="80"/>
      <c r="AH42" s="80"/>
      <c r="AI42" s="80"/>
    </row>
    <row r="43" spans="1:35" ht="20.100000000000001" customHeight="1">
      <c r="A43" s="85"/>
      <c r="B43" s="150">
        <v>38</v>
      </c>
      <c r="C43" s="107" t="str">
        <f ca="1">language!A404</f>
        <v>Объемный расход (р.у.)</v>
      </c>
      <c r="D43" s="108" t="str">
        <f>'Page1|Страница 1'!R62</f>
        <v>м³/ч</v>
      </c>
      <c r="E43" s="109">
        <f>'Page1|Страница 1'!N62</f>
        <v>0</v>
      </c>
      <c r="F43" s="110">
        <f>'Page1|Страница 1'!V62</f>
        <v>0</v>
      </c>
      <c r="G43" s="111">
        <f>'Page1|Страница 1'!AD62</f>
        <v>0</v>
      </c>
      <c r="H43" s="165">
        <v>90</v>
      </c>
      <c r="I43" s="170" t="str">
        <f t="shared" si="0"/>
        <v/>
      </c>
      <c r="J43" s="94" t="str">
        <f>IF(OR($E$19="4+4",$E$19="4+1"),J21,"")</f>
        <v/>
      </c>
      <c r="K43" s="98" t="str">
        <f t="shared" si="1"/>
        <v/>
      </c>
      <c r="L43" s="98" t="str">
        <f>IF(OR($E$19="4+4",$E$19="4+1"),L21,"")</f>
        <v/>
      </c>
      <c r="M43" s="142" t="str">
        <f>IF(OR($E$19="4+4",$E$19="4+1"),M21,"")</f>
        <v/>
      </c>
      <c r="N43" s="249"/>
      <c r="O43" s="247"/>
      <c r="P43" s="247"/>
      <c r="Q43" s="247"/>
      <c r="R43" s="247"/>
      <c r="S43" s="247"/>
      <c r="T43" s="247"/>
      <c r="U43" s="247"/>
      <c r="V43" s="247"/>
      <c r="W43" s="247"/>
      <c r="X43" s="247"/>
      <c r="Y43" s="247"/>
      <c r="Z43" s="247"/>
      <c r="AA43" s="247"/>
      <c r="AB43" s="247"/>
      <c r="AC43" s="247"/>
      <c r="AD43" s="80"/>
      <c r="AE43" s="80"/>
      <c r="AF43" s="80"/>
      <c r="AG43" s="80"/>
      <c r="AH43" s="80"/>
      <c r="AI43" s="80"/>
    </row>
    <row r="44" spans="1:35" ht="20.100000000000001" customHeight="1">
      <c r="A44" s="85"/>
      <c r="B44" s="150">
        <v>39</v>
      </c>
      <c r="C44" s="107" t="str">
        <f ca="1">language!A405</f>
        <v>Давление (избыточное)</v>
      </c>
      <c r="D44" s="94" t="str">
        <f>'Page1|Страница 1'!R70</f>
        <v>бар(и)</v>
      </c>
      <c r="E44" s="112">
        <f>'Page1|Страница 1'!N70</f>
        <v>0</v>
      </c>
      <c r="F44" s="113">
        <f>'Page1|Страница 1'!V70</f>
        <v>0</v>
      </c>
      <c r="G44" s="114">
        <f>'Page1|Страница 1'!AD70</f>
        <v>0</v>
      </c>
      <c r="H44" s="150">
        <v>91</v>
      </c>
      <c r="I44" s="170" t="str">
        <f t="shared" si="0"/>
        <v/>
      </c>
      <c r="J44" s="94" t="str">
        <f>IF(OR($E$19="4+4",$E$19="4+1"),J22,"")</f>
        <v/>
      </c>
      <c r="K44" s="98" t="str">
        <f t="shared" si="1"/>
        <v/>
      </c>
      <c r="L44" s="99" t="str">
        <f>IF(OR($E$19="4+4",$E$19="4+1"),L22,"")</f>
        <v/>
      </c>
      <c r="M44" s="173" t="str">
        <f>IF(OR($E$19="4+4",$E$19="4+1"),M22,"")</f>
        <v/>
      </c>
      <c r="N44" s="249"/>
      <c r="O44" s="247"/>
      <c r="P44" s="247"/>
      <c r="Q44" s="247"/>
      <c r="R44" s="247"/>
      <c r="S44" s="247"/>
      <c r="T44" s="247"/>
      <c r="U44" s="247"/>
      <c r="V44" s="247"/>
      <c r="W44" s="247"/>
      <c r="X44" s="247"/>
      <c r="Y44" s="247"/>
      <c r="Z44" s="247"/>
      <c r="AA44" s="247"/>
      <c r="AB44" s="247"/>
      <c r="AC44" s="247"/>
      <c r="AD44" s="80"/>
      <c r="AE44" s="80"/>
      <c r="AF44" s="80"/>
      <c r="AG44" s="80"/>
      <c r="AH44" s="80"/>
      <c r="AI44" s="80"/>
    </row>
    <row r="45" spans="1:35" ht="20.100000000000001" customHeight="1">
      <c r="A45" s="85"/>
      <c r="B45" s="150">
        <v>40</v>
      </c>
      <c r="C45" s="115" t="str">
        <f ca="1">language!A406</f>
        <v>Температура</v>
      </c>
      <c r="D45" s="100" t="str">
        <f>'Page1|Страница 1'!R68</f>
        <v>°C</v>
      </c>
      <c r="E45" s="116">
        <f>'Page1|Страница 1'!N68</f>
        <v>0</v>
      </c>
      <c r="F45" s="117">
        <f>'Page1|Страница 1'!V68</f>
        <v>0</v>
      </c>
      <c r="G45" s="118">
        <f>'Page1|Страница 1'!AD68</f>
        <v>0</v>
      </c>
      <c r="H45" s="155">
        <v>82</v>
      </c>
      <c r="I45" s="171" t="str">
        <f t="shared" si="0"/>
        <v/>
      </c>
      <c r="J45" s="100" t="str">
        <f>IF(OR($E$19="4+4",$E$19="4+1"),J23,"")</f>
        <v/>
      </c>
      <c r="K45" s="143" t="str">
        <f t="shared" si="1"/>
        <v/>
      </c>
      <c r="L45" s="144"/>
      <c r="M45" s="145"/>
      <c r="N45" s="249"/>
      <c r="O45" s="247"/>
      <c r="P45" s="247"/>
      <c r="Q45" s="247"/>
      <c r="R45" s="247"/>
      <c r="S45" s="247"/>
      <c r="T45" s="247"/>
      <c r="U45" s="247"/>
      <c r="V45" s="247"/>
      <c r="W45" s="247"/>
      <c r="X45" s="247"/>
      <c r="Y45" s="247"/>
      <c r="Z45" s="247"/>
      <c r="AA45" s="247"/>
      <c r="AB45" s="247"/>
      <c r="AC45" s="247"/>
      <c r="AD45" s="80"/>
      <c r="AE45" s="80"/>
      <c r="AF45" s="80"/>
      <c r="AG45" s="80"/>
      <c r="AH45" s="80"/>
      <c r="AI45" s="80"/>
    </row>
    <row r="46" spans="1:35" ht="20.100000000000001" customHeight="1">
      <c r="A46" s="85"/>
      <c r="B46" s="153">
        <v>41</v>
      </c>
      <c r="C46" s="712"/>
      <c r="D46" s="713"/>
      <c r="E46" s="713"/>
      <c r="F46" s="713"/>
      <c r="G46" s="714"/>
      <c r="H46" s="168">
        <v>93</v>
      </c>
      <c r="I46" s="101" t="str">
        <f t="shared" si="0"/>
        <v/>
      </c>
      <c r="J46" s="102"/>
      <c r="K46" s="736" t="str">
        <f t="shared" si="1"/>
        <v/>
      </c>
      <c r="L46" s="737"/>
      <c r="M46" s="738"/>
      <c r="N46" s="249"/>
      <c r="O46" s="247"/>
      <c r="P46" s="247"/>
      <c r="Q46" s="247"/>
      <c r="R46" s="247"/>
      <c r="S46" s="247"/>
      <c r="T46" s="247"/>
      <c r="U46" s="247"/>
      <c r="V46" s="247"/>
      <c r="W46" s="247"/>
      <c r="X46" s="247"/>
      <c r="Y46" s="247"/>
      <c r="Z46" s="247"/>
      <c r="AA46" s="247"/>
      <c r="AB46" s="247"/>
      <c r="AC46" s="247"/>
      <c r="AD46" s="80"/>
      <c r="AE46" s="80"/>
      <c r="AF46" s="80"/>
      <c r="AG46" s="80"/>
      <c r="AH46" s="80"/>
      <c r="AI46" s="80"/>
    </row>
    <row r="47" spans="1:35" ht="20.100000000000001" customHeight="1">
      <c r="A47" s="85"/>
      <c r="B47" s="154">
        <v>42</v>
      </c>
      <c r="C47" s="245" t="str">
        <f ca="1">language!A407</f>
        <v>Измеряемая среда</v>
      </c>
      <c r="D47" s="119"/>
      <c r="E47" s="767">
        <f>'Page1|Страница 1'!R40</f>
        <v>0</v>
      </c>
      <c r="F47" s="768"/>
      <c r="G47" s="769"/>
      <c r="H47" s="167">
        <v>94</v>
      </c>
      <c r="I47" s="101" t="str">
        <f t="shared" si="0"/>
        <v/>
      </c>
      <c r="J47" s="102"/>
      <c r="K47" s="688" t="str">
        <f t="shared" si="1"/>
        <v/>
      </c>
      <c r="L47" s="689"/>
      <c r="M47" s="690"/>
      <c r="N47" s="249"/>
      <c r="O47" s="247"/>
      <c r="P47" s="247"/>
      <c r="Q47" s="247"/>
      <c r="R47" s="247"/>
      <c r="S47" s="247"/>
      <c r="T47" s="247"/>
      <c r="U47" s="247"/>
      <c r="V47" s="247"/>
      <c r="W47" s="247"/>
      <c r="X47" s="247"/>
      <c r="Y47" s="247"/>
      <c r="Z47" s="247"/>
      <c r="AA47" s="247"/>
      <c r="AB47" s="247"/>
      <c r="AC47" s="247"/>
      <c r="AD47" s="80"/>
      <c r="AE47" s="80"/>
      <c r="AF47" s="80"/>
      <c r="AG47" s="80"/>
      <c r="AH47" s="80"/>
      <c r="AI47" s="80"/>
    </row>
    <row r="48" spans="1:35" ht="20.100000000000001" customHeight="1">
      <c r="A48" s="85"/>
      <c r="B48" s="150">
        <v>43</v>
      </c>
      <c r="C48" s="107" t="str">
        <f ca="1">language!A408</f>
        <v>Агрессивные компоненты</v>
      </c>
      <c r="D48" s="120"/>
      <c r="E48" s="745">
        <f>'Page1|Страница 1'!AF40</f>
        <v>0</v>
      </c>
      <c r="F48" s="746"/>
      <c r="G48" s="747"/>
      <c r="H48" s="165">
        <v>95</v>
      </c>
      <c r="I48" s="170" t="str">
        <f t="shared" si="0"/>
        <v/>
      </c>
      <c r="J48" s="94"/>
      <c r="K48" s="748" t="str">
        <f t="shared" si="1"/>
        <v/>
      </c>
      <c r="L48" s="749"/>
      <c r="M48" s="750"/>
      <c r="N48" s="249"/>
      <c r="O48" s="247"/>
      <c r="P48" s="247"/>
      <c r="Q48" s="247"/>
      <c r="R48" s="247"/>
      <c r="S48" s="247"/>
      <c r="T48" s="247"/>
      <c r="U48" s="247"/>
      <c r="V48" s="247"/>
      <c r="W48" s="247"/>
      <c r="X48" s="247"/>
      <c r="Y48" s="247"/>
      <c r="Z48" s="247"/>
      <c r="AA48" s="247"/>
      <c r="AB48" s="247"/>
      <c r="AC48" s="247"/>
      <c r="AD48" s="80"/>
      <c r="AE48" s="80"/>
      <c r="AF48" s="80"/>
      <c r="AG48" s="80"/>
      <c r="AH48" s="80"/>
      <c r="AI48" s="80"/>
    </row>
    <row r="49" spans="1:35" ht="20.100000000000001" customHeight="1">
      <c r="A49" s="85"/>
      <c r="B49" s="155">
        <v>44</v>
      </c>
      <c r="C49" s="121" t="str">
        <f ca="1">language!A409</f>
        <v>Содержание жидкости</v>
      </c>
      <c r="D49" s="100" t="str">
        <f>'Page1|Страница 1'!AM44</f>
        <v>об.%</v>
      </c>
      <c r="E49" s="770">
        <f>'Page1|Страница 1'!AF44</f>
        <v>0</v>
      </c>
      <c r="F49" s="771"/>
      <c r="G49" s="772"/>
      <c r="H49" s="165">
        <v>96</v>
      </c>
      <c r="I49" s="169" t="str">
        <f t="shared" si="0"/>
        <v/>
      </c>
      <c r="J49" s="103"/>
      <c r="K49" s="721" t="str">
        <f t="shared" si="1"/>
        <v/>
      </c>
      <c r="L49" s="722"/>
      <c r="M49" s="723"/>
      <c r="N49" s="249"/>
      <c r="O49" s="247"/>
      <c r="P49" s="247"/>
      <c r="Q49" s="247"/>
      <c r="R49" s="247"/>
      <c r="S49" s="247"/>
      <c r="T49" s="247"/>
      <c r="U49" s="247"/>
      <c r="V49" s="247"/>
      <c r="W49" s="247"/>
      <c r="X49" s="247"/>
      <c r="Y49" s="247"/>
      <c r="Z49" s="247"/>
      <c r="AA49" s="247"/>
      <c r="AB49" s="247"/>
      <c r="AC49" s="247"/>
      <c r="AD49" s="80"/>
      <c r="AE49" s="80"/>
      <c r="AF49" s="80"/>
      <c r="AG49" s="80"/>
      <c r="AH49" s="80"/>
      <c r="AI49" s="80"/>
    </row>
    <row r="50" spans="1:35" ht="20.100000000000001" customHeight="1" thickBot="1">
      <c r="A50" s="85"/>
      <c r="B50" s="156">
        <v>45</v>
      </c>
      <c r="C50" s="764"/>
      <c r="D50" s="765"/>
      <c r="E50" s="765"/>
      <c r="F50" s="765"/>
      <c r="G50" s="766"/>
      <c r="H50" s="155">
        <v>97</v>
      </c>
      <c r="I50" s="172" t="str">
        <f t="shared" si="0"/>
        <v/>
      </c>
      <c r="J50" s="104"/>
      <c r="K50" s="693" t="str">
        <f t="shared" si="1"/>
        <v/>
      </c>
      <c r="L50" s="694"/>
      <c r="M50" s="695"/>
      <c r="N50" s="249"/>
      <c r="O50" s="247"/>
      <c r="P50" s="247"/>
      <c r="Q50" s="247"/>
      <c r="R50" s="247"/>
      <c r="S50" s="247"/>
      <c r="T50" s="247"/>
      <c r="U50" s="247"/>
      <c r="V50" s="247"/>
      <c r="W50" s="247"/>
      <c r="X50" s="247"/>
      <c r="Y50" s="247"/>
      <c r="Z50" s="247"/>
      <c r="AA50" s="247"/>
      <c r="AB50" s="247"/>
      <c r="AC50" s="247"/>
      <c r="AD50" s="80"/>
      <c r="AE50" s="80"/>
      <c r="AF50" s="80"/>
      <c r="AG50" s="80"/>
      <c r="AH50" s="80"/>
      <c r="AI50" s="80"/>
    </row>
    <row r="51" spans="1:35" ht="20.100000000000001" customHeight="1">
      <c r="A51" s="85"/>
      <c r="B51" s="157">
        <v>46</v>
      </c>
      <c r="C51" s="675" t="str">
        <f ca="1">'Page2|Страница 2'!E60&amp;": "&amp;'Page2|Страница 2'!M64&amp;": "&amp;'Page2|Страница 2'!AC64</f>
        <v xml:space="preserve">Калибровка: Сухая калибровка (+/- 0,5% - 4 луча; +/-1% - 2 луча): </v>
      </c>
      <c r="D51" s="676"/>
      <c r="E51" s="676"/>
      <c r="F51" s="676"/>
      <c r="G51" s="677"/>
      <c r="H51" s="167">
        <v>98</v>
      </c>
      <c r="I51" s="101" t="str">
        <f t="shared" si="0"/>
        <v/>
      </c>
      <c r="J51" s="102"/>
      <c r="K51" s="688" t="str">
        <f t="shared" si="1"/>
        <v/>
      </c>
      <c r="L51" s="689"/>
      <c r="M51" s="690"/>
      <c r="N51" s="249"/>
      <c r="O51" s="247"/>
      <c r="P51" s="247"/>
      <c r="Q51" s="247"/>
      <c r="R51" s="247"/>
      <c r="S51" s="247"/>
      <c r="T51" s="247"/>
      <c r="U51" s="247"/>
      <c r="V51" s="247"/>
      <c r="W51" s="247"/>
      <c r="X51" s="247"/>
      <c r="Y51" s="247"/>
      <c r="Z51" s="247"/>
      <c r="AA51" s="247"/>
      <c r="AB51" s="247"/>
      <c r="AC51" s="247"/>
      <c r="AD51" s="80"/>
      <c r="AE51" s="80"/>
      <c r="AF51" s="80"/>
      <c r="AG51" s="80"/>
      <c r="AH51" s="80"/>
      <c r="AI51" s="80"/>
    </row>
    <row r="52" spans="1:35" ht="20.100000000000001" customHeight="1">
      <c r="A52" s="85"/>
      <c r="B52" s="150">
        <v>47</v>
      </c>
      <c r="C52" s="733"/>
      <c r="D52" s="734"/>
      <c r="E52" s="734"/>
      <c r="F52" s="734"/>
      <c r="G52" s="735"/>
      <c r="H52" s="165">
        <v>98</v>
      </c>
      <c r="I52" s="169" t="str">
        <f t="shared" si="0"/>
        <v/>
      </c>
      <c r="J52" s="97"/>
      <c r="K52" s="721" t="str">
        <f t="shared" si="1"/>
        <v/>
      </c>
      <c r="L52" s="722"/>
      <c r="M52" s="723"/>
      <c r="N52" s="249"/>
      <c r="O52" s="247"/>
      <c r="P52" s="247"/>
      <c r="Q52" s="247"/>
      <c r="R52" s="247"/>
      <c r="S52" s="247"/>
      <c r="T52" s="247"/>
      <c r="U52" s="247"/>
      <c r="V52" s="247"/>
      <c r="W52" s="247"/>
      <c r="X52" s="247"/>
      <c r="Y52" s="247"/>
      <c r="Z52" s="247"/>
      <c r="AA52" s="247"/>
      <c r="AB52" s="247"/>
      <c r="AC52" s="247"/>
      <c r="AD52" s="80"/>
      <c r="AE52" s="80"/>
      <c r="AF52" s="80"/>
      <c r="AG52" s="80"/>
      <c r="AH52" s="80"/>
      <c r="AI52" s="80"/>
    </row>
    <row r="53" spans="1:35" ht="20.100000000000001" customHeight="1">
      <c r="A53" s="85"/>
      <c r="B53" s="150">
        <v>48</v>
      </c>
      <c r="C53" s="92" t="str">
        <f ca="1">IF(calibratopn=drycalibration,"",language!A414)</f>
        <v/>
      </c>
      <c r="D53" s="122"/>
      <c r="E53" s="791">
        <f>'Page2|Страница 2'!M66</f>
        <v>0</v>
      </c>
      <c r="F53" s="792"/>
      <c r="G53" s="793"/>
      <c r="H53" s="155">
        <v>100</v>
      </c>
      <c r="I53" s="172" t="str">
        <f t="shared" si="0"/>
        <v/>
      </c>
      <c r="J53" s="104"/>
      <c r="K53" s="693" t="str">
        <f t="shared" si="1"/>
        <v/>
      </c>
      <c r="L53" s="694"/>
      <c r="M53" s="695"/>
      <c r="N53" s="249"/>
      <c r="O53" s="247"/>
      <c r="P53" s="247"/>
      <c r="Q53" s="247"/>
      <c r="R53" s="247"/>
      <c r="S53" s="247"/>
      <c r="T53" s="247"/>
      <c r="U53" s="247"/>
      <c r="V53" s="247"/>
      <c r="W53" s="247"/>
      <c r="X53" s="247"/>
      <c r="Y53" s="247"/>
      <c r="Z53" s="247"/>
      <c r="AA53" s="247"/>
      <c r="AB53" s="247"/>
      <c r="AC53" s="247"/>
      <c r="AD53" s="80"/>
      <c r="AE53" s="80"/>
      <c r="AF53" s="80"/>
      <c r="AG53" s="80"/>
      <c r="AH53" s="80"/>
      <c r="AI53" s="80"/>
    </row>
    <row r="54" spans="1:35" ht="20.100000000000001" customHeight="1">
      <c r="A54" s="85"/>
      <c r="B54" s="150">
        <v>49</v>
      </c>
      <c r="C54" s="92" t="str">
        <f ca="1">IF(calibratopn=drycalibration,"",language!A415)</f>
        <v/>
      </c>
      <c r="D54" s="94" t="str">
        <f ca="1">IF(calibratopn=drycalibration,"",'Page2|Страница 2'!S70)</f>
        <v/>
      </c>
      <c r="E54" s="715" t="str">
        <f ca="1">IF(calibratopn=drycalibration,"",CONCATENATE('Page2|Страница 2'!M70," ... ",'Page2|Страница 2'!AC70))</f>
        <v/>
      </c>
      <c r="F54" s="716"/>
      <c r="G54" s="717"/>
      <c r="H54" s="167">
        <v>101</v>
      </c>
      <c r="I54" s="101" t="str">
        <f t="shared" si="0"/>
        <v/>
      </c>
      <c r="J54" s="102"/>
      <c r="K54" s="688" t="str">
        <f t="shared" si="1"/>
        <v/>
      </c>
      <c r="L54" s="689"/>
      <c r="M54" s="690"/>
      <c r="N54" s="249"/>
      <c r="O54" s="247"/>
      <c r="P54" s="247"/>
      <c r="Q54" s="247"/>
      <c r="R54" s="247"/>
      <c r="S54" s="247"/>
      <c r="T54" s="247"/>
      <c r="U54" s="247"/>
      <c r="V54" s="247"/>
      <c r="W54" s="247"/>
      <c r="X54" s="247"/>
      <c r="Y54" s="247"/>
      <c r="Z54" s="247"/>
      <c r="AA54" s="247"/>
      <c r="AB54" s="247"/>
      <c r="AC54" s="247"/>
      <c r="AD54" s="80"/>
      <c r="AE54" s="80"/>
      <c r="AF54" s="80"/>
      <c r="AG54" s="80"/>
      <c r="AH54" s="80"/>
      <c r="AI54" s="80"/>
    </row>
    <row r="55" spans="1:35" ht="20.100000000000001" customHeight="1">
      <c r="A55" s="85"/>
      <c r="B55" s="150">
        <v>50</v>
      </c>
      <c r="C55" s="92" t="str">
        <f ca="1">IF(calibratopn=drycalibration,"",language!A416)</f>
        <v/>
      </c>
      <c r="D55" s="94" t="str">
        <f ca="1">IF(calibratopn=drycalibration,"",'Page2|Страница 2'!S68)</f>
        <v/>
      </c>
      <c r="E55" s="721" t="str">
        <f ca="1">IF(calibratopn=drycalibration,"",'Page2|Страница 2'!M68)</f>
        <v/>
      </c>
      <c r="F55" s="722"/>
      <c r="G55" s="723"/>
      <c r="H55" s="165">
        <v>102</v>
      </c>
      <c r="I55" s="169" t="str">
        <f t="shared" si="0"/>
        <v/>
      </c>
      <c r="J55" s="97"/>
      <c r="K55" s="721" t="str">
        <f t="shared" si="1"/>
        <v/>
      </c>
      <c r="L55" s="722"/>
      <c r="M55" s="723"/>
      <c r="N55" s="249"/>
      <c r="O55" s="247"/>
      <c r="P55" s="247"/>
      <c r="Q55" s="247"/>
      <c r="R55" s="247"/>
      <c r="S55" s="247"/>
      <c r="T55" s="247"/>
      <c r="U55" s="247"/>
      <c r="V55" s="247"/>
      <c r="W55" s="247"/>
      <c r="X55" s="247"/>
      <c r="Y55" s="247"/>
      <c r="Z55" s="247"/>
      <c r="AA55" s="247"/>
      <c r="AB55" s="247"/>
      <c r="AC55" s="247"/>
      <c r="AD55" s="80"/>
      <c r="AE55" s="80"/>
      <c r="AF55" s="80"/>
      <c r="AG55" s="80"/>
      <c r="AH55" s="80"/>
      <c r="AI55" s="80"/>
    </row>
    <row r="56" spans="1:35" ht="20.100000000000001" customHeight="1">
      <c r="A56" s="85"/>
      <c r="B56" s="150">
        <v>51</v>
      </c>
      <c r="C56" s="92" t="str">
        <f ca="1">IF(calibratopn=drycalibration,"",language!A417)</f>
        <v/>
      </c>
      <c r="D56" s="122"/>
      <c r="E56" s="721" t="str">
        <f ca="1">IF(calibratopn=drycalibration,"",IF('Page2|Страница 2'!M72=language!A223,'Page2|Страница 2'!M74,'Page2|Страница 2'!M72))</f>
        <v/>
      </c>
      <c r="F56" s="722"/>
      <c r="G56" s="723"/>
      <c r="H56" s="155">
        <v>103</v>
      </c>
      <c r="I56" s="172" t="str">
        <f>IF(OR($E$19="4+4",$E$19="4+1"),I35,"")</f>
        <v/>
      </c>
      <c r="J56" s="104"/>
      <c r="K56" s="693" t="str">
        <f>IF(OR($E$19="4+4",$E$19="4+1"),K35,"")</f>
        <v/>
      </c>
      <c r="L56" s="694"/>
      <c r="M56" s="695"/>
      <c r="N56" s="249"/>
      <c r="O56" s="247"/>
      <c r="P56" s="247"/>
      <c r="Q56" s="247"/>
      <c r="R56" s="247"/>
      <c r="S56" s="247"/>
      <c r="T56" s="247"/>
      <c r="U56" s="247"/>
      <c r="V56" s="247"/>
      <c r="W56" s="247"/>
      <c r="X56" s="247"/>
      <c r="Y56" s="247"/>
      <c r="Z56" s="247"/>
      <c r="AA56" s="247"/>
      <c r="AB56" s="247"/>
      <c r="AC56" s="247"/>
      <c r="AD56" s="80"/>
      <c r="AE56" s="80"/>
      <c r="AF56" s="80"/>
      <c r="AG56" s="80"/>
      <c r="AH56" s="80"/>
      <c r="AI56" s="80"/>
    </row>
    <row r="57" spans="1:35" ht="19.5" customHeight="1">
      <c r="A57" s="85"/>
      <c r="B57" s="150">
        <v>52</v>
      </c>
      <c r="C57" s="92" t="str">
        <f ca="1">IF(calibratopn=drycalibration,"",language!A418)</f>
        <v/>
      </c>
      <c r="D57" s="122"/>
      <c r="E57" s="721" t="str">
        <f ca="1">IF(calibratopn=drycalibration,"",'Page2|Страница 2'!M62)</f>
        <v/>
      </c>
      <c r="F57" s="722"/>
      <c r="G57" s="723"/>
      <c r="H57" s="167">
        <v>104</v>
      </c>
      <c r="I57" s="699" t="str">
        <f>IF(OR($E$19="4+4",$E$19="4+1"),I36,"")</f>
        <v/>
      </c>
      <c r="J57" s="700"/>
      <c r="K57" s="700"/>
      <c r="L57" s="700"/>
      <c r="M57" s="701"/>
      <c r="N57" s="249"/>
      <c r="O57" s="247"/>
      <c r="P57" s="247"/>
      <c r="Q57" s="247"/>
      <c r="R57" s="247"/>
      <c r="S57" s="247"/>
      <c r="T57" s="247"/>
      <c r="U57" s="247"/>
      <c r="V57" s="247"/>
      <c r="W57" s="247"/>
      <c r="X57" s="247"/>
      <c r="Y57" s="247"/>
      <c r="Z57" s="247"/>
      <c r="AA57" s="247"/>
      <c r="AB57" s="247"/>
      <c r="AC57" s="247"/>
      <c r="AD57" s="80"/>
      <c r="AE57" s="80"/>
      <c r="AF57" s="80"/>
      <c r="AG57" s="80"/>
      <c r="AH57" s="80"/>
      <c r="AI57" s="80"/>
    </row>
    <row r="58" spans="1:35" ht="19.5" customHeight="1" thickBot="1">
      <c r="A58" s="85"/>
      <c r="B58" s="151">
        <v>53</v>
      </c>
      <c r="C58" s="809"/>
      <c r="D58" s="810"/>
      <c r="E58" s="810"/>
      <c r="F58" s="810"/>
      <c r="G58" s="811"/>
      <c r="H58" s="150">
        <v>105</v>
      </c>
      <c r="I58" s="696" t="str">
        <f>IF(OR($E$19="4+4",$E$19="4+1"),I37,"")</f>
        <v/>
      </c>
      <c r="J58" s="782"/>
      <c r="K58" s="715" t="str">
        <f>IF(OR($E$19="4+4",$E$19="4+1"),K37,"")</f>
        <v/>
      </c>
      <c r="L58" s="716"/>
      <c r="M58" s="717"/>
      <c r="N58" s="249"/>
      <c r="O58" s="247"/>
      <c r="P58" s="247"/>
      <c r="Q58" s="247"/>
      <c r="R58" s="247"/>
      <c r="S58" s="247"/>
      <c r="T58" s="247"/>
      <c r="U58" s="247"/>
      <c r="V58" s="247"/>
      <c r="W58" s="247"/>
      <c r="X58" s="247"/>
      <c r="Y58" s="247"/>
      <c r="Z58" s="247"/>
      <c r="AA58" s="247"/>
      <c r="AB58" s="247"/>
      <c r="AC58" s="247"/>
      <c r="AD58" s="80"/>
      <c r="AE58" s="80"/>
      <c r="AF58" s="80"/>
      <c r="AG58" s="80"/>
      <c r="AH58" s="80"/>
      <c r="AI58" s="80"/>
    </row>
    <row r="59" spans="1:35" ht="20.25" customHeight="1" thickBot="1">
      <c r="A59" s="85"/>
      <c r="B59" s="808"/>
      <c r="C59" s="676"/>
      <c r="D59" s="676"/>
      <c r="E59" s="676"/>
      <c r="F59" s="676"/>
      <c r="G59" s="677"/>
      <c r="H59" s="151">
        <v>106</v>
      </c>
      <c r="I59" s="691" t="str">
        <f>IF(OR($E$19="4+4",$E$19="4+1"),I38,"")</f>
        <v/>
      </c>
      <c r="J59" s="692"/>
      <c r="K59" s="776" t="str">
        <f>IF(OR($E$19="4+4",$E$19="4+1"),K38,"")</f>
        <v/>
      </c>
      <c r="L59" s="777"/>
      <c r="M59" s="778"/>
      <c r="N59" s="256"/>
      <c r="O59" s="247"/>
      <c r="P59" s="247"/>
      <c r="Q59" s="247"/>
      <c r="R59" s="247"/>
      <c r="S59" s="247"/>
      <c r="T59" s="247"/>
      <c r="U59" s="247"/>
      <c r="V59" s="247"/>
      <c r="W59" s="247"/>
      <c r="X59" s="247"/>
      <c r="Y59" s="247"/>
      <c r="Z59" s="247"/>
      <c r="AA59" s="247"/>
      <c r="AB59" s="247"/>
      <c r="AC59" s="247"/>
      <c r="AD59" s="80"/>
      <c r="AE59" s="80"/>
      <c r="AF59" s="80"/>
      <c r="AG59" s="80"/>
      <c r="AH59" s="80"/>
      <c r="AI59" s="80"/>
    </row>
    <row r="60" spans="1:35" ht="19.5" customHeight="1">
      <c r="A60" s="85"/>
      <c r="B60" s="802"/>
      <c r="C60" s="803"/>
      <c r="D60" s="803"/>
      <c r="E60" s="803"/>
      <c r="F60" s="803"/>
      <c r="G60" s="804"/>
      <c r="H60" s="815"/>
      <c r="I60" s="816"/>
      <c r="J60" s="816"/>
      <c r="K60" s="816"/>
      <c r="L60" s="816"/>
      <c r="M60" s="817"/>
      <c r="N60" s="256"/>
      <c r="O60" s="247"/>
      <c r="P60" s="247"/>
      <c r="Q60" s="247"/>
      <c r="R60" s="247"/>
      <c r="S60" s="247"/>
      <c r="T60" s="247"/>
      <c r="U60" s="247"/>
      <c r="V60" s="247"/>
      <c r="W60" s="247"/>
      <c r="X60" s="247"/>
      <c r="Y60" s="247"/>
      <c r="Z60" s="247"/>
      <c r="AA60" s="247"/>
      <c r="AB60" s="247"/>
      <c r="AC60" s="247"/>
      <c r="AD60" s="80"/>
      <c r="AE60" s="80"/>
      <c r="AF60" s="80"/>
      <c r="AG60" s="80"/>
      <c r="AH60" s="80"/>
      <c r="AI60" s="80"/>
    </row>
    <row r="61" spans="1:35" ht="33" customHeight="1" thickBot="1">
      <c r="A61" s="85"/>
      <c r="B61" s="799"/>
      <c r="C61" s="800"/>
      <c r="D61" s="800"/>
      <c r="E61" s="800"/>
      <c r="F61" s="800"/>
      <c r="G61" s="801"/>
      <c r="H61" s="805"/>
      <c r="I61" s="806"/>
      <c r="J61" s="806"/>
      <c r="K61" s="806"/>
      <c r="L61" s="806"/>
      <c r="M61" s="807"/>
      <c r="N61" s="256"/>
      <c r="O61" s="247"/>
      <c r="P61" s="247"/>
      <c r="Q61" s="247"/>
      <c r="R61" s="247"/>
      <c r="S61" s="247"/>
      <c r="T61" s="247"/>
      <c r="U61" s="247"/>
      <c r="V61" s="247"/>
      <c r="W61" s="247"/>
      <c r="X61" s="247"/>
      <c r="Y61" s="247"/>
      <c r="Z61" s="247"/>
      <c r="AA61" s="247"/>
      <c r="AB61" s="247"/>
      <c r="AC61" s="247"/>
      <c r="AD61" s="80"/>
      <c r="AE61" s="80"/>
      <c r="AF61" s="80"/>
      <c r="AG61" s="80"/>
      <c r="AH61" s="80"/>
      <c r="AI61" s="80"/>
    </row>
    <row r="62" spans="1:35" ht="20.25" customHeight="1">
      <c r="A62" s="85"/>
      <c r="B62" s="812"/>
      <c r="C62" s="813"/>
      <c r="D62" s="813"/>
      <c r="E62" s="813"/>
      <c r="F62" s="813"/>
      <c r="G62" s="813"/>
      <c r="H62" s="813"/>
      <c r="I62" s="813"/>
      <c r="J62" s="813"/>
      <c r="K62" s="813"/>
      <c r="L62" s="813"/>
      <c r="M62" s="814"/>
      <c r="N62" s="257"/>
      <c r="O62" s="247"/>
      <c r="P62" s="247"/>
      <c r="Q62" s="247"/>
      <c r="R62" s="247"/>
      <c r="S62" s="247"/>
      <c r="T62" s="247"/>
      <c r="U62" s="247"/>
      <c r="V62" s="247"/>
      <c r="W62" s="247"/>
      <c r="X62" s="247"/>
      <c r="Y62" s="247"/>
      <c r="Z62" s="247"/>
      <c r="AA62" s="247"/>
      <c r="AB62" s="247"/>
      <c r="AC62" s="247"/>
      <c r="AD62" s="80"/>
      <c r="AE62" s="80"/>
      <c r="AF62" s="80"/>
      <c r="AG62" s="80"/>
      <c r="AH62" s="80"/>
      <c r="AI62" s="80"/>
    </row>
    <row r="63" spans="1:35" ht="25.5" customHeight="1">
      <c r="A63" s="85"/>
      <c r="B63" s="158"/>
      <c r="C63" s="6"/>
      <c r="D63" s="6"/>
      <c r="E63" s="6"/>
      <c r="F63" s="163"/>
      <c r="G63" s="105"/>
      <c r="I63" s="6"/>
      <c r="J63" s="6"/>
      <c r="K63" s="6"/>
      <c r="L63" s="6"/>
      <c r="M63" s="125"/>
      <c r="N63" s="257"/>
      <c r="O63" s="247"/>
      <c r="P63" s="247"/>
      <c r="Q63" s="247"/>
      <c r="R63" s="247"/>
      <c r="S63" s="247"/>
      <c r="T63" s="247"/>
      <c r="U63" s="247"/>
      <c r="V63" s="247"/>
      <c r="W63" s="247"/>
      <c r="X63" s="247"/>
      <c r="Y63" s="247"/>
      <c r="Z63" s="247"/>
      <c r="AA63" s="247"/>
      <c r="AB63" s="247"/>
      <c r="AC63" s="247"/>
      <c r="AD63" s="80"/>
      <c r="AE63" s="80"/>
      <c r="AF63" s="80"/>
      <c r="AG63" s="80"/>
      <c r="AH63" s="80"/>
      <c r="AI63" s="80"/>
    </row>
    <row r="64" spans="1:35" ht="31.5" customHeight="1" thickBot="1">
      <c r="A64" s="85"/>
      <c r="B64" s="796"/>
      <c r="C64" s="797"/>
      <c r="D64" s="797"/>
      <c r="E64" s="797"/>
      <c r="F64" s="797"/>
      <c r="G64" s="797"/>
      <c r="H64" s="797"/>
      <c r="I64" s="797"/>
      <c r="J64" s="797"/>
      <c r="K64" s="797"/>
      <c r="L64" s="797"/>
      <c r="M64" s="798"/>
      <c r="N64" s="257"/>
      <c r="O64" s="247"/>
      <c r="P64" s="247"/>
      <c r="Q64" s="247"/>
      <c r="R64" s="247"/>
      <c r="S64" s="247"/>
      <c r="T64" s="247"/>
      <c r="U64" s="247"/>
      <c r="V64" s="247"/>
      <c r="W64" s="247"/>
      <c r="X64" s="247"/>
      <c r="Y64" s="247"/>
      <c r="Z64" s="247"/>
      <c r="AA64" s="247"/>
      <c r="AB64" s="247"/>
      <c r="AC64" s="247"/>
      <c r="AD64" s="80"/>
      <c r="AE64" s="80"/>
      <c r="AF64" s="80"/>
      <c r="AG64" s="80"/>
      <c r="AH64" s="80"/>
      <c r="AI64" s="80"/>
    </row>
    <row r="65" spans="1:35" ht="21" customHeight="1">
      <c r="A65" s="85"/>
      <c r="B65" s="762" t="str">
        <f ca="1">language!A463</f>
        <v>Разработано</v>
      </c>
      <c r="C65" s="763"/>
      <c r="D65" s="753"/>
      <c r="E65" s="754"/>
      <c r="F65" s="754"/>
      <c r="G65" s="754"/>
      <c r="H65" s="754"/>
      <c r="I65" s="754"/>
      <c r="J65" s="754"/>
      <c r="K65" s="755"/>
      <c r="L65" s="126" t="str">
        <f ca="1">language!A465</f>
        <v>Дата</v>
      </c>
      <c r="M65" s="146"/>
      <c r="N65" s="258"/>
      <c r="O65" s="247"/>
      <c r="P65" s="247"/>
      <c r="Q65" s="247"/>
      <c r="R65" s="247"/>
      <c r="S65" s="247"/>
      <c r="T65" s="247"/>
      <c r="U65" s="247"/>
      <c r="V65" s="247"/>
      <c r="W65" s="247"/>
      <c r="X65" s="247"/>
      <c r="Y65" s="247"/>
      <c r="Z65" s="247"/>
      <c r="AA65" s="247"/>
      <c r="AB65" s="247"/>
      <c r="AC65" s="247"/>
      <c r="AD65" s="80"/>
      <c r="AE65" s="80"/>
      <c r="AF65" s="80"/>
      <c r="AG65" s="80"/>
      <c r="AH65" s="80"/>
      <c r="AI65" s="80"/>
    </row>
    <row r="66" spans="1:35" ht="42" customHeight="1">
      <c r="A66" s="85"/>
      <c r="B66" s="794" t="str">
        <f ca="1">language!A464</f>
        <v>Заказчик / Название проекта</v>
      </c>
      <c r="C66" s="795"/>
      <c r="D66" s="756"/>
      <c r="E66" s="757"/>
      <c r="F66" s="757"/>
      <c r="G66" s="757"/>
      <c r="H66" s="757"/>
      <c r="I66" s="757"/>
      <c r="J66" s="757"/>
      <c r="K66" s="758"/>
      <c r="L66" s="127" t="str">
        <f ca="1">language!A466</f>
        <v>№ Ревизии</v>
      </c>
      <c r="M66" s="147"/>
      <c r="N66" s="259"/>
      <c r="O66" s="247"/>
      <c r="P66" s="247"/>
      <c r="Q66" s="247"/>
      <c r="R66" s="247"/>
      <c r="S66" s="247"/>
      <c r="T66" s="247"/>
      <c r="U66" s="247"/>
      <c r="V66" s="247"/>
      <c r="W66" s="247"/>
      <c r="X66" s="247"/>
      <c r="Y66" s="247"/>
      <c r="Z66" s="247"/>
      <c r="AA66" s="247"/>
      <c r="AB66" s="247"/>
      <c r="AC66" s="247"/>
      <c r="AD66" s="80"/>
      <c r="AE66" s="80"/>
      <c r="AF66" s="80"/>
      <c r="AG66" s="80"/>
      <c r="AH66" s="80"/>
      <c r="AI66" s="80"/>
    </row>
    <row r="67" spans="1:35" ht="21" customHeight="1" thickBot="1">
      <c r="A67" s="85"/>
      <c r="B67" s="751"/>
      <c r="C67" s="752"/>
      <c r="D67" s="759"/>
      <c r="E67" s="760"/>
      <c r="F67" s="760"/>
      <c r="G67" s="760"/>
      <c r="H67" s="760"/>
      <c r="I67" s="760"/>
      <c r="J67" s="760"/>
      <c r="K67" s="761"/>
      <c r="L67" s="128"/>
      <c r="M67" s="129"/>
      <c r="N67" s="260"/>
      <c r="O67" s="247"/>
      <c r="P67" s="247"/>
      <c r="Q67" s="247"/>
      <c r="R67" s="247"/>
      <c r="S67" s="247"/>
      <c r="T67" s="247"/>
      <c r="U67" s="247"/>
      <c r="V67" s="247"/>
      <c r="W67" s="247"/>
      <c r="X67" s="247"/>
      <c r="Y67" s="247"/>
      <c r="Z67" s="247"/>
      <c r="AA67" s="247"/>
      <c r="AB67" s="247"/>
      <c r="AC67" s="247"/>
      <c r="AD67" s="80"/>
      <c r="AE67" s="80"/>
      <c r="AF67" s="80"/>
      <c r="AG67" s="80"/>
      <c r="AH67" s="80"/>
      <c r="AI67" s="80"/>
    </row>
    <row r="68" spans="1:35">
      <c r="B68" s="159"/>
      <c r="C68" s="123"/>
      <c r="D68" s="131"/>
      <c r="E68" s="123"/>
      <c r="F68" s="123"/>
      <c r="G68" s="123"/>
      <c r="H68" s="130"/>
      <c r="I68" s="123"/>
      <c r="J68" s="131"/>
      <c r="K68" s="123"/>
      <c r="L68" s="123"/>
      <c r="M68" s="123"/>
      <c r="N68" s="261"/>
      <c r="O68" s="247"/>
      <c r="P68" s="247"/>
      <c r="Q68" s="247"/>
      <c r="R68" s="247"/>
      <c r="S68" s="247"/>
      <c r="T68" s="247"/>
      <c r="U68" s="247"/>
      <c r="V68" s="247"/>
      <c r="W68" s="247"/>
      <c r="X68" s="247"/>
      <c r="Y68" s="247"/>
      <c r="Z68" s="247"/>
      <c r="AA68" s="247"/>
      <c r="AB68" s="247"/>
      <c r="AC68" s="247"/>
      <c r="AD68" s="80"/>
      <c r="AE68" s="80"/>
      <c r="AF68" s="80"/>
      <c r="AG68" s="80"/>
      <c r="AH68" s="80"/>
      <c r="AI68" s="80"/>
    </row>
    <row r="69" spans="1:35">
      <c r="B69" s="159"/>
      <c r="C69" s="123"/>
      <c r="D69" s="131"/>
      <c r="E69" s="123"/>
      <c r="F69" s="123"/>
      <c r="G69" s="123"/>
      <c r="H69" s="130"/>
      <c r="I69" s="123"/>
      <c r="J69" s="131"/>
      <c r="K69" s="123"/>
      <c r="L69" s="123"/>
      <c r="M69" s="123"/>
      <c r="N69" s="261"/>
      <c r="O69" s="247"/>
      <c r="P69" s="247"/>
      <c r="Q69" s="247"/>
      <c r="R69" s="247"/>
      <c r="S69" s="247"/>
      <c r="T69" s="247"/>
      <c r="U69" s="247"/>
      <c r="V69" s="247"/>
      <c r="W69" s="247"/>
      <c r="X69" s="247"/>
      <c r="Y69" s="247"/>
      <c r="Z69" s="247"/>
      <c r="AA69" s="247"/>
      <c r="AB69" s="247"/>
      <c r="AC69" s="247"/>
      <c r="AD69" s="80"/>
      <c r="AE69" s="80"/>
      <c r="AF69" s="80"/>
      <c r="AG69" s="80"/>
      <c r="AH69" s="80"/>
      <c r="AI69" s="80"/>
    </row>
    <row r="70" spans="1:35">
      <c r="B70" s="159"/>
      <c r="C70" s="123"/>
      <c r="D70" s="131"/>
      <c r="E70" s="123"/>
      <c r="F70" s="123"/>
      <c r="G70" s="123"/>
      <c r="H70" s="130"/>
      <c r="I70" s="123"/>
      <c r="J70" s="131"/>
      <c r="K70" s="123"/>
      <c r="L70" s="123"/>
      <c r="M70" s="123"/>
      <c r="N70" s="257"/>
      <c r="O70" s="247"/>
      <c r="P70" s="247"/>
      <c r="Q70" s="247"/>
      <c r="R70" s="247"/>
      <c r="S70" s="247"/>
      <c r="T70" s="247"/>
      <c r="U70" s="247"/>
      <c r="V70" s="247"/>
      <c r="W70" s="247"/>
      <c r="X70" s="247"/>
      <c r="Y70" s="247"/>
      <c r="Z70" s="247"/>
      <c r="AA70" s="247"/>
      <c r="AB70" s="247"/>
      <c r="AC70" s="247"/>
      <c r="AD70" s="80"/>
      <c r="AE70" s="80"/>
      <c r="AF70" s="80"/>
      <c r="AG70" s="80"/>
      <c r="AH70" s="80"/>
      <c r="AI70" s="80"/>
    </row>
    <row r="71" spans="1:35">
      <c r="B71" s="159"/>
      <c r="C71" s="123"/>
      <c r="D71" s="131"/>
      <c r="E71" s="123"/>
      <c r="F71" s="123"/>
      <c r="G71" s="123"/>
      <c r="H71" s="130"/>
      <c r="I71" s="123"/>
      <c r="J71" s="131"/>
      <c r="K71" s="123"/>
      <c r="L71" s="123"/>
      <c r="M71" s="123"/>
      <c r="N71" s="257"/>
      <c r="O71" s="247"/>
      <c r="P71" s="247"/>
      <c r="Q71" s="247"/>
      <c r="R71" s="247"/>
      <c r="S71" s="247"/>
      <c r="T71" s="247"/>
      <c r="U71" s="247"/>
      <c r="V71" s="247"/>
      <c r="W71" s="247"/>
      <c r="X71" s="247"/>
      <c r="Y71" s="247"/>
      <c r="Z71" s="247"/>
      <c r="AA71" s="247"/>
      <c r="AB71" s="247"/>
      <c r="AC71" s="247"/>
    </row>
    <row r="72" spans="1:35">
      <c r="B72" s="159"/>
      <c r="C72" s="123"/>
      <c r="D72" s="131"/>
      <c r="E72" s="123"/>
      <c r="F72" s="123"/>
      <c r="G72" s="123"/>
      <c r="H72" s="130"/>
      <c r="I72" s="123"/>
      <c r="J72" s="131"/>
      <c r="K72" s="123"/>
      <c r="L72" s="123"/>
      <c r="M72" s="123"/>
      <c r="N72" s="257"/>
      <c r="O72" s="247"/>
      <c r="P72" s="247"/>
      <c r="Q72" s="247"/>
      <c r="R72" s="247"/>
      <c r="S72" s="247"/>
      <c r="T72" s="247"/>
      <c r="U72" s="247"/>
      <c r="V72" s="247"/>
      <c r="W72" s="247"/>
      <c r="X72" s="247"/>
      <c r="Y72" s="247"/>
      <c r="Z72" s="247"/>
      <c r="AA72" s="247"/>
      <c r="AB72" s="247"/>
      <c r="AC72" s="247"/>
    </row>
    <row r="73" spans="1:35">
      <c r="B73" s="159"/>
      <c r="C73" s="123"/>
      <c r="D73" s="131"/>
      <c r="E73" s="123"/>
      <c r="F73" s="123"/>
      <c r="G73" s="123"/>
      <c r="H73" s="130"/>
      <c r="I73" s="123"/>
      <c r="J73" s="131"/>
      <c r="K73" s="123"/>
      <c r="L73" s="123"/>
      <c r="M73" s="123"/>
      <c r="N73" s="257"/>
      <c r="O73" s="247"/>
      <c r="P73" s="247"/>
      <c r="Q73" s="247"/>
      <c r="R73" s="247"/>
      <c r="S73" s="247"/>
      <c r="T73" s="247"/>
      <c r="U73" s="247"/>
      <c r="V73" s="247"/>
      <c r="W73" s="247"/>
      <c r="X73" s="247"/>
      <c r="Y73" s="247"/>
      <c r="Z73" s="247"/>
      <c r="AA73" s="247"/>
      <c r="AB73" s="247"/>
      <c r="AC73" s="247"/>
    </row>
    <row r="74" spans="1:35">
      <c r="B74" s="159"/>
      <c r="C74" s="123"/>
      <c r="D74" s="131"/>
      <c r="E74" s="123"/>
      <c r="F74" s="123"/>
      <c r="G74" s="123"/>
      <c r="H74" s="130"/>
      <c r="I74" s="123"/>
      <c r="J74" s="131"/>
      <c r="K74" s="123"/>
      <c r="L74" s="123"/>
      <c r="M74" s="123"/>
      <c r="N74" s="257"/>
      <c r="O74" s="247"/>
      <c r="P74" s="247"/>
      <c r="Q74" s="247"/>
      <c r="R74" s="247"/>
      <c r="S74" s="247"/>
      <c r="T74" s="247"/>
      <c r="U74" s="247"/>
      <c r="V74" s="247"/>
      <c r="W74" s="247"/>
      <c r="X74" s="247"/>
      <c r="Y74" s="247"/>
      <c r="Z74" s="247"/>
      <c r="AA74" s="247"/>
      <c r="AB74" s="247"/>
      <c r="AC74" s="247"/>
    </row>
    <row r="75" spans="1:35">
      <c r="B75" s="159"/>
      <c r="C75" s="123"/>
      <c r="D75" s="131"/>
      <c r="E75" s="123"/>
      <c r="F75" s="123"/>
      <c r="G75" s="123"/>
      <c r="H75" s="130"/>
      <c r="I75" s="123"/>
      <c r="J75" s="131"/>
      <c r="K75" s="123"/>
      <c r="L75" s="123"/>
      <c r="M75" s="123"/>
      <c r="N75" s="257"/>
      <c r="O75" s="247"/>
      <c r="P75" s="247"/>
      <c r="Q75" s="247"/>
      <c r="R75" s="247"/>
      <c r="S75" s="247"/>
      <c r="T75" s="247"/>
      <c r="U75" s="247"/>
      <c r="V75" s="247"/>
      <c r="W75" s="247"/>
      <c r="X75" s="247"/>
      <c r="Y75" s="247"/>
      <c r="Z75" s="247"/>
      <c r="AA75" s="247"/>
      <c r="AB75" s="247"/>
      <c r="AC75" s="247"/>
    </row>
    <row r="76" spans="1:35">
      <c r="B76" s="159"/>
      <c r="C76" s="123"/>
      <c r="D76" s="131"/>
      <c r="E76" s="123"/>
      <c r="F76" s="123"/>
      <c r="G76" s="123"/>
      <c r="H76" s="130"/>
      <c r="I76" s="123"/>
      <c r="J76" s="131"/>
      <c r="K76" s="123"/>
      <c r="L76" s="123"/>
      <c r="M76" s="123"/>
      <c r="N76" s="257"/>
      <c r="O76" s="247"/>
      <c r="P76" s="247"/>
      <c r="Q76" s="247"/>
      <c r="R76" s="247"/>
      <c r="S76" s="247"/>
      <c r="T76" s="247"/>
      <c r="U76" s="247"/>
      <c r="V76" s="247"/>
      <c r="W76" s="247"/>
      <c r="X76" s="247"/>
      <c r="Y76" s="247"/>
      <c r="Z76" s="247"/>
      <c r="AA76" s="247"/>
      <c r="AB76" s="247"/>
      <c r="AC76" s="247"/>
    </row>
    <row r="77" spans="1:35">
      <c r="B77" s="159"/>
      <c r="C77" s="123"/>
      <c r="D77" s="131"/>
      <c r="E77" s="123"/>
      <c r="F77" s="123"/>
      <c r="G77" s="123"/>
      <c r="H77" s="130"/>
      <c r="I77" s="123"/>
      <c r="J77" s="131"/>
      <c r="K77" s="123"/>
      <c r="L77" s="123"/>
      <c r="M77" s="123"/>
      <c r="N77" s="123"/>
      <c r="O77" s="80"/>
      <c r="P77" s="80"/>
      <c r="Q77" s="80"/>
    </row>
    <row r="78" spans="1:35">
      <c r="B78" s="159"/>
      <c r="C78" s="123"/>
      <c r="D78" s="131"/>
      <c r="E78" s="123"/>
      <c r="F78" s="123"/>
      <c r="G78" s="123"/>
      <c r="H78" s="130"/>
      <c r="I78" s="123"/>
      <c r="J78" s="131"/>
      <c r="K78" s="123"/>
      <c r="L78" s="123"/>
      <c r="M78" s="123"/>
      <c r="N78" s="123"/>
      <c r="O78" s="80"/>
      <c r="P78" s="80"/>
      <c r="Q78" s="80"/>
    </row>
    <row r="79" spans="1:35">
      <c r="B79" s="159"/>
      <c r="C79" s="123"/>
      <c r="D79" s="131"/>
      <c r="E79" s="123"/>
      <c r="F79" s="123"/>
      <c r="G79" s="123"/>
      <c r="H79" s="130"/>
      <c r="I79" s="123"/>
      <c r="J79" s="131"/>
      <c r="K79" s="123"/>
      <c r="L79" s="123"/>
      <c r="M79" s="123"/>
      <c r="N79" s="123"/>
      <c r="O79" s="80"/>
      <c r="P79" s="80"/>
      <c r="Q79" s="80"/>
    </row>
    <row r="80" spans="1:35">
      <c r="B80" s="159"/>
      <c r="C80" s="123"/>
      <c r="D80" s="131"/>
      <c r="E80" s="123"/>
      <c r="F80" s="123"/>
      <c r="G80" s="123"/>
      <c r="H80" s="130"/>
      <c r="I80" s="123"/>
      <c r="J80" s="131"/>
      <c r="K80" s="123"/>
      <c r="L80" s="123"/>
      <c r="M80" s="123"/>
      <c r="N80" s="123"/>
      <c r="O80" s="80"/>
      <c r="P80" s="80"/>
      <c r="Q80" s="80"/>
    </row>
    <row r="81" spans="2:17">
      <c r="B81" s="159"/>
      <c r="C81" s="123"/>
      <c r="D81" s="131"/>
      <c r="E81" s="123"/>
      <c r="F81" s="123"/>
      <c r="G81" s="123"/>
      <c r="H81" s="130"/>
      <c r="I81" s="123"/>
      <c r="J81" s="131"/>
      <c r="K81" s="123"/>
      <c r="L81" s="123"/>
      <c r="M81" s="123"/>
      <c r="N81" s="123"/>
      <c r="O81" s="80"/>
      <c r="P81" s="80"/>
      <c r="Q81" s="80"/>
    </row>
    <row r="82" spans="2:17">
      <c r="B82" s="159"/>
      <c r="C82" s="123"/>
      <c r="D82" s="131"/>
      <c r="E82" s="123"/>
      <c r="F82" s="123"/>
      <c r="G82" s="123"/>
      <c r="H82" s="130"/>
      <c r="I82" s="123"/>
      <c r="J82" s="131"/>
      <c r="K82" s="123"/>
      <c r="L82" s="123"/>
      <c r="M82" s="123"/>
      <c r="N82" s="123"/>
      <c r="O82" s="80"/>
      <c r="P82" s="80"/>
      <c r="Q82" s="80"/>
    </row>
    <row r="83" spans="2:17">
      <c r="B83" s="159"/>
      <c r="C83" s="123"/>
      <c r="D83" s="131"/>
      <c r="E83" s="123"/>
      <c r="F83" s="123"/>
      <c r="G83" s="123"/>
      <c r="H83" s="130"/>
      <c r="I83" s="123"/>
      <c r="J83" s="131"/>
      <c r="K83" s="123"/>
      <c r="L83" s="123"/>
      <c r="M83" s="123"/>
      <c r="N83" s="123"/>
      <c r="O83" s="80"/>
      <c r="P83" s="80"/>
      <c r="Q83" s="80"/>
    </row>
    <row r="84" spans="2:17">
      <c r="B84" s="159"/>
      <c r="C84" s="123"/>
      <c r="D84" s="131"/>
      <c r="E84" s="123"/>
      <c r="F84" s="123"/>
      <c r="G84" s="123"/>
      <c r="H84" s="130"/>
      <c r="I84" s="123"/>
      <c r="J84" s="131"/>
      <c r="K84" s="123"/>
      <c r="L84" s="123"/>
      <c r="M84" s="123"/>
      <c r="N84" s="123"/>
      <c r="O84" s="80"/>
      <c r="P84" s="80"/>
      <c r="Q84" s="80"/>
    </row>
    <row r="85" spans="2:17">
      <c r="B85" s="159"/>
      <c r="C85" s="123"/>
      <c r="D85" s="131"/>
      <c r="E85" s="123"/>
      <c r="F85" s="123"/>
      <c r="G85" s="123"/>
      <c r="H85" s="130"/>
      <c r="I85" s="123"/>
      <c r="J85" s="131"/>
      <c r="K85" s="123"/>
      <c r="L85" s="123"/>
      <c r="M85" s="123"/>
      <c r="N85" s="123"/>
      <c r="O85" s="80"/>
      <c r="P85" s="80"/>
      <c r="Q85" s="80"/>
    </row>
    <row r="86" spans="2:17">
      <c r="B86" s="159"/>
      <c r="C86" s="123"/>
      <c r="D86" s="131"/>
      <c r="E86" s="123"/>
      <c r="F86" s="123"/>
      <c r="G86" s="123"/>
      <c r="H86" s="130"/>
      <c r="I86" s="123"/>
      <c r="J86" s="131"/>
      <c r="K86" s="123"/>
      <c r="L86" s="123"/>
      <c r="M86" s="123"/>
      <c r="N86" s="123"/>
      <c r="O86" s="80"/>
      <c r="P86" s="80"/>
      <c r="Q86" s="80"/>
    </row>
    <row r="87" spans="2:17">
      <c r="B87" s="159"/>
      <c r="C87" s="123"/>
      <c r="D87" s="131"/>
      <c r="E87" s="123"/>
      <c r="F87" s="123"/>
      <c r="G87" s="123"/>
      <c r="H87" s="130"/>
      <c r="I87" s="123"/>
      <c r="J87" s="131"/>
      <c r="K87" s="123"/>
      <c r="L87" s="123"/>
      <c r="M87" s="123"/>
      <c r="N87" s="123"/>
      <c r="O87" s="80"/>
      <c r="P87" s="80"/>
      <c r="Q87" s="80"/>
    </row>
    <row r="88" spans="2:17">
      <c r="B88" s="159"/>
      <c r="C88" s="123"/>
      <c r="D88" s="131"/>
      <c r="E88" s="123"/>
      <c r="F88" s="123"/>
      <c r="G88" s="123"/>
      <c r="H88" s="130"/>
      <c r="I88" s="123"/>
      <c r="J88" s="131"/>
      <c r="K88" s="123"/>
      <c r="L88" s="123"/>
      <c r="M88" s="123"/>
      <c r="N88" s="123"/>
      <c r="O88" s="80"/>
      <c r="P88" s="80"/>
      <c r="Q88" s="80"/>
    </row>
    <row r="89" spans="2:17">
      <c r="B89" s="159"/>
      <c r="C89" s="123"/>
      <c r="D89" s="131"/>
      <c r="E89" s="123"/>
      <c r="F89" s="123"/>
      <c r="G89" s="123"/>
      <c r="H89" s="130"/>
      <c r="I89" s="123"/>
      <c r="J89" s="131"/>
      <c r="K89" s="123"/>
      <c r="L89" s="123"/>
      <c r="M89" s="123"/>
      <c r="N89" s="123"/>
      <c r="O89" s="80"/>
      <c r="P89" s="80"/>
      <c r="Q89" s="80"/>
    </row>
    <row r="90" spans="2:17">
      <c r="B90" s="159"/>
      <c r="C90" s="123"/>
      <c r="D90" s="131"/>
      <c r="E90" s="123"/>
      <c r="F90" s="123"/>
      <c r="G90" s="123"/>
      <c r="H90" s="130"/>
      <c r="I90" s="123"/>
      <c r="J90" s="131"/>
      <c r="K90" s="123"/>
      <c r="L90" s="123"/>
      <c r="M90" s="123"/>
      <c r="N90" s="123"/>
      <c r="O90" s="80"/>
      <c r="P90" s="80"/>
      <c r="Q90" s="80"/>
    </row>
    <row r="91" spans="2:17">
      <c r="B91" s="159"/>
      <c r="C91" s="123"/>
      <c r="D91" s="131"/>
      <c r="E91" s="123"/>
      <c r="F91" s="123"/>
      <c r="G91" s="123"/>
      <c r="H91" s="130"/>
      <c r="I91" s="123"/>
      <c r="J91" s="131"/>
      <c r="K91" s="123"/>
      <c r="L91" s="123"/>
      <c r="M91" s="123"/>
      <c r="N91" s="123"/>
      <c r="O91" s="80"/>
      <c r="P91" s="80"/>
      <c r="Q91" s="80"/>
    </row>
    <row r="92" spans="2:17">
      <c r="B92" s="159"/>
      <c r="C92" s="123"/>
      <c r="D92" s="131"/>
      <c r="E92" s="123"/>
      <c r="F92" s="123"/>
      <c r="G92" s="123"/>
      <c r="H92" s="130"/>
      <c r="I92" s="123"/>
      <c r="J92" s="131"/>
      <c r="K92" s="123"/>
      <c r="L92" s="123"/>
      <c r="M92" s="123"/>
      <c r="N92" s="123"/>
      <c r="O92" s="80"/>
      <c r="P92" s="80"/>
      <c r="Q92" s="80"/>
    </row>
    <row r="93" spans="2:17">
      <c r="B93" s="159"/>
      <c r="C93" s="123"/>
      <c r="D93" s="131"/>
      <c r="E93" s="123"/>
      <c r="F93" s="123"/>
      <c r="G93" s="123"/>
      <c r="H93" s="130"/>
      <c r="I93" s="123"/>
      <c r="J93" s="131"/>
      <c r="K93" s="123"/>
      <c r="L93" s="123"/>
      <c r="M93" s="123"/>
      <c r="N93" s="123"/>
      <c r="O93" s="80"/>
      <c r="P93" s="80"/>
      <c r="Q93" s="80"/>
    </row>
    <row r="94" spans="2:17">
      <c r="B94" s="159"/>
      <c r="C94" s="123"/>
      <c r="D94" s="131"/>
      <c r="E94" s="123"/>
      <c r="F94" s="123"/>
      <c r="G94" s="123"/>
      <c r="H94" s="130"/>
      <c r="I94" s="123"/>
      <c r="J94" s="131"/>
      <c r="K94" s="123"/>
      <c r="L94" s="123"/>
      <c r="M94" s="123"/>
      <c r="N94" s="123"/>
      <c r="O94" s="80"/>
      <c r="P94" s="80"/>
      <c r="Q94" s="80"/>
    </row>
    <row r="95" spans="2:17">
      <c r="B95" s="159"/>
      <c r="C95" s="123"/>
      <c r="D95" s="131"/>
      <c r="E95" s="123"/>
      <c r="F95" s="123"/>
      <c r="G95" s="123"/>
      <c r="H95" s="130"/>
      <c r="I95" s="123"/>
      <c r="J95" s="131"/>
      <c r="K95" s="123"/>
      <c r="L95" s="123"/>
      <c r="M95" s="123"/>
      <c r="N95" s="123"/>
      <c r="O95" s="80"/>
      <c r="P95" s="80"/>
      <c r="Q95" s="80"/>
    </row>
    <row r="96" spans="2:17">
      <c r="B96" s="159"/>
      <c r="C96" s="123"/>
      <c r="D96" s="131"/>
      <c r="E96" s="123"/>
      <c r="F96" s="123"/>
      <c r="G96" s="123"/>
      <c r="H96" s="130"/>
      <c r="I96" s="123"/>
      <c r="J96" s="131"/>
      <c r="K96" s="123"/>
      <c r="L96" s="123"/>
      <c r="M96" s="123"/>
      <c r="N96" s="123"/>
      <c r="O96" s="80"/>
      <c r="P96" s="80"/>
      <c r="Q96" s="80"/>
    </row>
    <row r="97" spans="2:17">
      <c r="B97" s="159"/>
      <c r="C97" s="123"/>
      <c r="D97" s="131"/>
      <c r="E97" s="123"/>
      <c r="F97" s="123"/>
      <c r="G97" s="123"/>
      <c r="H97" s="130"/>
      <c r="I97" s="123"/>
      <c r="J97" s="131"/>
      <c r="K97" s="123"/>
      <c r="L97" s="123"/>
      <c r="M97" s="123"/>
      <c r="N97" s="123"/>
      <c r="O97" s="80"/>
      <c r="P97" s="80"/>
      <c r="Q97" s="80"/>
    </row>
    <row r="98" spans="2:17">
      <c r="B98" s="159"/>
      <c r="C98" s="123"/>
      <c r="D98" s="131"/>
      <c r="E98" s="123"/>
      <c r="F98" s="123"/>
      <c r="G98" s="123"/>
      <c r="H98" s="130"/>
      <c r="I98" s="123"/>
      <c r="J98" s="131"/>
      <c r="K98" s="123"/>
      <c r="L98" s="123"/>
      <c r="M98" s="123"/>
      <c r="N98" s="123"/>
      <c r="O98" s="80"/>
      <c r="P98" s="80"/>
      <c r="Q98" s="80"/>
    </row>
    <row r="99" spans="2:17">
      <c r="B99" s="159"/>
      <c r="C99" s="123"/>
      <c r="D99" s="131"/>
      <c r="E99" s="123"/>
      <c r="F99" s="123"/>
      <c r="G99" s="123"/>
      <c r="H99" s="130"/>
      <c r="I99" s="123"/>
      <c r="J99" s="131"/>
      <c r="K99" s="123"/>
      <c r="L99" s="123"/>
      <c r="M99" s="123"/>
      <c r="N99" s="123"/>
      <c r="O99" s="80"/>
      <c r="P99" s="80"/>
      <c r="Q99" s="80"/>
    </row>
    <row r="100" spans="2:17">
      <c r="B100" s="159"/>
      <c r="C100" s="123"/>
      <c r="D100" s="131"/>
      <c r="E100" s="123"/>
      <c r="F100" s="123"/>
      <c r="G100" s="123"/>
      <c r="H100" s="130"/>
      <c r="I100" s="123"/>
      <c r="J100" s="131"/>
      <c r="K100" s="123"/>
      <c r="L100" s="123"/>
      <c r="M100" s="123"/>
      <c r="N100" s="123"/>
      <c r="O100" s="80"/>
      <c r="P100" s="80"/>
      <c r="Q100" s="80"/>
    </row>
    <row r="101" spans="2:17">
      <c r="B101" s="159"/>
      <c r="C101" s="123"/>
      <c r="D101" s="131"/>
      <c r="E101" s="123"/>
      <c r="F101" s="123"/>
      <c r="G101" s="123"/>
      <c r="H101" s="130"/>
      <c r="I101" s="123"/>
      <c r="J101" s="131"/>
      <c r="K101" s="123"/>
      <c r="L101" s="123"/>
      <c r="M101" s="123"/>
      <c r="N101" s="123"/>
      <c r="O101" s="80"/>
      <c r="P101" s="80"/>
      <c r="Q101" s="80"/>
    </row>
    <row r="102" spans="2:17">
      <c r="B102" s="159"/>
      <c r="C102" s="123"/>
      <c r="D102" s="131"/>
      <c r="E102" s="123"/>
      <c r="F102" s="123"/>
      <c r="G102" s="123"/>
      <c r="H102" s="130"/>
      <c r="I102" s="123"/>
      <c r="J102" s="131"/>
      <c r="K102" s="123"/>
      <c r="L102" s="123"/>
      <c r="M102" s="123"/>
      <c r="N102" s="123"/>
    </row>
    <row r="103" spans="2:17">
      <c r="B103" s="159"/>
      <c r="C103" s="123"/>
      <c r="D103" s="131"/>
      <c r="E103" s="123"/>
      <c r="F103" s="123"/>
      <c r="G103" s="123"/>
      <c r="H103" s="130"/>
      <c r="I103" s="123"/>
      <c r="J103" s="131"/>
      <c r="K103" s="123"/>
      <c r="L103" s="123"/>
      <c r="M103" s="123"/>
      <c r="N103" s="123"/>
    </row>
    <row r="104" spans="2:17">
      <c r="B104" s="159"/>
      <c r="C104" s="123"/>
      <c r="D104" s="131"/>
      <c r="E104" s="123"/>
      <c r="F104" s="123"/>
      <c r="G104" s="123"/>
      <c r="H104" s="130"/>
      <c r="I104" s="123"/>
      <c r="J104" s="131"/>
      <c r="K104" s="123"/>
      <c r="L104" s="123"/>
      <c r="M104" s="123"/>
      <c r="N104" s="123"/>
    </row>
    <row r="105" spans="2:17">
      <c r="B105" s="159"/>
      <c r="C105" s="123"/>
      <c r="D105" s="131"/>
      <c r="E105" s="123"/>
      <c r="F105" s="123"/>
      <c r="G105" s="123"/>
      <c r="H105" s="130"/>
      <c r="I105" s="123"/>
      <c r="J105" s="131"/>
      <c r="K105" s="123"/>
      <c r="L105" s="123"/>
      <c r="M105" s="123"/>
      <c r="N105" s="123"/>
    </row>
    <row r="106" spans="2:17">
      <c r="B106" s="159"/>
      <c r="C106" s="123"/>
      <c r="D106" s="131"/>
      <c r="E106" s="123"/>
      <c r="F106" s="123"/>
      <c r="G106" s="123"/>
      <c r="H106" s="130"/>
      <c r="I106" s="123"/>
      <c r="J106" s="131"/>
      <c r="K106" s="123"/>
      <c r="L106" s="123"/>
      <c r="M106" s="123"/>
      <c r="N106" s="123"/>
    </row>
    <row r="107" spans="2:17">
      <c r="B107" s="159"/>
      <c r="C107" s="123"/>
      <c r="D107" s="131"/>
      <c r="E107" s="123"/>
      <c r="F107" s="123"/>
      <c r="G107" s="123"/>
      <c r="H107" s="130"/>
      <c r="I107" s="123"/>
      <c r="J107" s="131"/>
      <c r="K107" s="123"/>
      <c r="L107" s="123"/>
      <c r="M107" s="123"/>
      <c r="N107" s="123"/>
    </row>
    <row r="108" spans="2:17">
      <c r="B108" s="159"/>
      <c r="C108" s="123"/>
      <c r="D108" s="131"/>
      <c r="E108" s="123"/>
      <c r="F108" s="123"/>
      <c r="G108" s="123"/>
      <c r="H108" s="130"/>
      <c r="I108" s="123"/>
      <c r="J108" s="131"/>
      <c r="K108" s="123"/>
      <c r="L108" s="123"/>
      <c r="M108" s="123"/>
      <c r="N108" s="123"/>
    </row>
    <row r="109" spans="2:17">
      <c r="B109" s="159"/>
      <c r="C109" s="123"/>
      <c r="D109" s="131"/>
      <c r="E109" s="123"/>
      <c r="F109" s="123"/>
      <c r="G109" s="123"/>
      <c r="H109" s="130"/>
      <c r="I109" s="123"/>
      <c r="J109" s="131"/>
      <c r="K109" s="123"/>
      <c r="L109" s="123"/>
      <c r="M109" s="123"/>
      <c r="N109" s="123"/>
    </row>
    <row r="110" spans="2:17">
      <c r="B110" s="159"/>
      <c r="C110" s="123"/>
      <c r="D110" s="131"/>
      <c r="E110" s="123"/>
      <c r="F110" s="123"/>
      <c r="G110" s="123"/>
      <c r="H110" s="130"/>
      <c r="I110" s="123"/>
      <c r="J110" s="131"/>
      <c r="K110" s="123"/>
      <c r="L110" s="123"/>
      <c r="M110" s="123"/>
      <c r="N110" s="123"/>
    </row>
    <row r="111" spans="2:17">
      <c r="B111" s="159"/>
      <c r="C111" s="123"/>
      <c r="D111" s="131"/>
      <c r="E111" s="123"/>
      <c r="F111" s="123"/>
      <c r="G111" s="123"/>
      <c r="H111" s="130"/>
      <c r="I111" s="123"/>
      <c r="J111" s="131"/>
      <c r="K111" s="123"/>
      <c r="L111" s="123"/>
      <c r="M111" s="123"/>
      <c r="N111" s="123"/>
    </row>
    <row r="112" spans="2:17">
      <c r="B112" s="159"/>
      <c r="C112" s="123"/>
      <c r="D112" s="131"/>
      <c r="E112" s="123"/>
      <c r="F112" s="123"/>
      <c r="G112" s="123"/>
      <c r="H112" s="130"/>
      <c r="I112" s="123"/>
      <c r="J112" s="131"/>
      <c r="K112" s="123"/>
      <c r="L112" s="123"/>
      <c r="M112" s="123"/>
      <c r="N112" s="123"/>
    </row>
    <row r="113" spans="2:14">
      <c r="B113" s="159"/>
      <c r="C113" s="123"/>
      <c r="D113" s="131"/>
      <c r="E113" s="123"/>
      <c r="F113" s="123"/>
      <c r="G113" s="123"/>
      <c r="H113" s="130"/>
      <c r="I113" s="123"/>
      <c r="J113" s="131"/>
      <c r="K113" s="123"/>
      <c r="L113" s="123"/>
      <c r="M113" s="123"/>
      <c r="N113" s="123"/>
    </row>
    <row r="114" spans="2:14">
      <c r="B114" s="159"/>
      <c r="C114" s="123"/>
      <c r="D114" s="131"/>
      <c r="E114" s="123"/>
      <c r="F114" s="123"/>
      <c r="G114" s="123"/>
      <c r="H114" s="130"/>
      <c r="I114" s="123"/>
      <c r="J114" s="131"/>
      <c r="K114" s="123"/>
      <c r="L114" s="123"/>
      <c r="M114" s="123"/>
      <c r="N114" s="123"/>
    </row>
    <row r="115" spans="2:14">
      <c r="B115" s="159"/>
      <c r="C115" s="123"/>
      <c r="D115" s="131"/>
      <c r="E115" s="123"/>
      <c r="F115" s="123"/>
      <c r="G115" s="123"/>
      <c r="H115" s="130"/>
      <c r="I115" s="123"/>
      <c r="J115" s="131"/>
      <c r="K115" s="123"/>
      <c r="L115" s="123"/>
      <c r="M115" s="123"/>
      <c r="N115" s="123"/>
    </row>
    <row r="116" spans="2:14">
      <c r="B116" s="159"/>
      <c r="C116" s="123"/>
      <c r="D116" s="131"/>
      <c r="E116" s="123"/>
      <c r="F116" s="123"/>
      <c r="G116" s="123"/>
      <c r="H116" s="130"/>
      <c r="I116" s="123"/>
      <c r="J116" s="131"/>
      <c r="K116" s="123"/>
      <c r="L116" s="123"/>
      <c r="M116" s="123"/>
      <c r="N116" s="123"/>
    </row>
    <row r="117" spans="2:14">
      <c r="B117" s="159"/>
      <c r="C117" s="123"/>
      <c r="D117" s="131"/>
      <c r="E117" s="123"/>
      <c r="F117" s="123"/>
      <c r="G117" s="123"/>
      <c r="H117" s="130"/>
      <c r="I117" s="123"/>
      <c r="J117" s="131"/>
      <c r="K117" s="123"/>
      <c r="L117" s="123"/>
      <c r="M117" s="123"/>
      <c r="N117" s="123"/>
    </row>
    <row r="118" spans="2:14">
      <c r="B118" s="159"/>
      <c r="C118" s="123"/>
      <c r="D118" s="131"/>
      <c r="E118" s="123"/>
      <c r="F118" s="123"/>
      <c r="G118" s="123"/>
      <c r="H118" s="130"/>
      <c r="I118" s="123"/>
      <c r="J118" s="131"/>
      <c r="K118" s="123"/>
      <c r="L118" s="123"/>
      <c r="M118" s="123"/>
      <c r="N118" s="123"/>
    </row>
    <row r="119" spans="2:14">
      <c r="B119" s="159"/>
      <c r="C119" s="123"/>
      <c r="D119" s="131"/>
      <c r="E119" s="123"/>
      <c r="F119" s="123"/>
      <c r="G119" s="123"/>
      <c r="H119" s="130"/>
      <c r="I119" s="123"/>
      <c r="J119" s="131"/>
      <c r="K119" s="123"/>
      <c r="L119" s="123"/>
      <c r="M119" s="123"/>
      <c r="N119" s="123"/>
    </row>
    <row r="120" spans="2:14">
      <c r="B120" s="159"/>
      <c r="C120" s="123"/>
      <c r="D120" s="131"/>
      <c r="E120" s="123"/>
      <c r="F120" s="123"/>
      <c r="G120" s="123"/>
      <c r="H120" s="130"/>
      <c r="I120" s="123"/>
      <c r="J120" s="131"/>
      <c r="K120" s="123"/>
      <c r="L120" s="123"/>
      <c r="M120" s="123"/>
      <c r="N120" s="123"/>
    </row>
    <row r="121" spans="2:14">
      <c r="B121" s="159"/>
      <c r="C121" s="123"/>
      <c r="D121" s="131"/>
      <c r="E121" s="123"/>
      <c r="F121" s="123"/>
      <c r="G121" s="123"/>
      <c r="H121" s="130"/>
      <c r="I121" s="123"/>
      <c r="J121" s="131"/>
      <c r="K121" s="123"/>
      <c r="L121" s="123"/>
      <c r="M121" s="123"/>
      <c r="N121" s="123"/>
    </row>
    <row r="122" spans="2:14">
      <c r="B122" s="159"/>
      <c r="C122" s="123"/>
      <c r="D122" s="131"/>
      <c r="E122" s="123"/>
      <c r="F122" s="123"/>
      <c r="G122" s="123"/>
      <c r="H122" s="130"/>
      <c r="I122" s="123"/>
      <c r="J122" s="131"/>
      <c r="K122" s="123"/>
      <c r="L122" s="123"/>
      <c r="M122" s="123"/>
      <c r="N122" s="123"/>
    </row>
    <row r="123" spans="2:14">
      <c r="B123" s="159"/>
      <c r="C123" s="123"/>
      <c r="D123" s="131"/>
      <c r="E123" s="123"/>
      <c r="F123" s="123"/>
      <c r="G123" s="123"/>
      <c r="H123" s="130"/>
      <c r="I123" s="123"/>
      <c r="J123" s="131"/>
      <c r="K123" s="123"/>
      <c r="L123" s="123"/>
      <c r="M123" s="123"/>
      <c r="N123" s="123"/>
    </row>
    <row r="124" spans="2:14">
      <c r="B124" s="159"/>
      <c r="C124" s="123"/>
      <c r="D124" s="131"/>
      <c r="E124" s="123"/>
      <c r="F124" s="123"/>
      <c r="G124" s="123"/>
      <c r="H124" s="130"/>
      <c r="I124" s="123"/>
      <c r="J124" s="131"/>
      <c r="K124" s="123"/>
      <c r="L124" s="123"/>
      <c r="M124" s="123"/>
      <c r="N124" s="123"/>
    </row>
    <row r="125" spans="2:14">
      <c r="B125" s="159"/>
      <c r="C125" s="123"/>
      <c r="D125" s="131"/>
      <c r="E125" s="123"/>
      <c r="F125" s="123"/>
      <c r="G125" s="123"/>
      <c r="H125" s="130"/>
      <c r="I125" s="123"/>
      <c r="J125" s="131"/>
      <c r="K125" s="123"/>
      <c r="L125" s="123"/>
      <c r="M125" s="123"/>
      <c r="N125" s="123"/>
    </row>
    <row r="126" spans="2:14">
      <c r="B126" s="159"/>
      <c r="C126" s="123"/>
      <c r="D126" s="131"/>
      <c r="E126" s="123"/>
      <c r="F126" s="123"/>
      <c r="G126" s="123"/>
      <c r="H126" s="130"/>
      <c r="I126" s="123"/>
      <c r="J126" s="131"/>
      <c r="K126" s="123"/>
      <c r="L126" s="123"/>
      <c r="M126" s="123"/>
      <c r="N126" s="123"/>
    </row>
    <row r="127" spans="2:14">
      <c r="B127" s="159"/>
      <c r="C127" s="123"/>
      <c r="D127" s="131"/>
      <c r="E127" s="123"/>
      <c r="F127" s="123"/>
      <c r="G127" s="123"/>
      <c r="H127" s="130"/>
      <c r="I127" s="123"/>
      <c r="J127" s="131"/>
      <c r="K127" s="123"/>
      <c r="L127" s="123"/>
      <c r="M127" s="123"/>
      <c r="N127" s="123"/>
    </row>
    <row r="128" spans="2:14">
      <c r="B128" s="159"/>
      <c r="C128" s="123"/>
      <c r="D128" s="131"/>
      <c r="E128" s="123"/>
      <c r="F128" s="123"/>
      <c r="G128" s="123"/>
      <c r="H128" s="130"/>
      <c r="I128" s="123"/>
      <c r="J128" s="131"/>
      <c r="K128" s="123"/>
      <c r="L128" s="123"/>
      <c r="M128" s="123"/>
      <c r="N128" s="123"/>
    </row>
    <row r="129" spans="2:14">
      <c r="B129" s="159"/>
      <c r="C129" s="123"/>
      <c r="D129" s="131"/>
      <c r="E129" s="123"/>
      <c r="F129" s="123"/>
      <c r="G129" s="123"/>
      <c r="H129" s="130"/>
      <c r="I129" s="123"/>
      <c r="J129" s="131"/>
      <c r="K129" s="123"/>
      <c r="L129" s="123"/>
      <c r="M129" s="123"/>
      <c r="N129" s="123"/>
    </row>
    <row r="130" spans="2:14">
      <c r="B130" s="159"/>
      <c r="C130" s="123"/>
      <c r="D130" s="131"/>
      <c r="E130" s="123"/>
      <c r="F130" s="123"/>
      <c r="G130" s="123"/>
      <c r="H130" s="130"/>
      <c r="I130" s="123"/>
      <c r="J130" s="131"/>
      <c r="K130" s="123"/>
      <c r="L130" s="123"/>
      <c r="M130" s="123"/>
      <c r="N130" s="123"/>
    </row>
    <row r="131" spans="2:14">
      <c r="B131" s="159"/>
      <c r="C131" s="123"/>
      <c r="D131" s="131"/>
      <c r="E131" s="123"/>
      <c r="F131" s="123"/>
      <c r="G131" s="123"/>
      <c r="H131" s="130"/>
      <c r="I131" s="123"/>
      <c r="J131" s="131"/>
      <c r="K131" s="123"/>
      <c r="L131" s="123"/>
      <c r="M131" s="123"/>
      <c r="N131" s="123"/>
    </row>
    <row r="132" spans="2:14">
      <c r="B132" s="159"/>
      <c r="C132" s="123"/>
      <c r="D132" s="131"/>
      <c r="E132" s="123"/>
      <c r="F132" s="123"/>
      <c r="G132" s="123"/>
      <c r="H132" s="130"/>
      <c r="I132" s="123"/>
      <c r="J132" s="131"/>
      <c r="K132" s="123"/>
      <c r="L132" s="123"/>
      <c r="M132" s="123"/>
      <c r="N132" s="123"/>
    </row>
    <row r="133" spans="2:14">
      <c r="B133" s="159"/>
      <c r="C133" s="123"/>
      <c r="D133" s="131"/>
      <c r="E133" s="123"/>
      <c r="F133" s="123"/>
      <c r="G133" s="123"/>
      <c r="H133" s="130"/>
      <c r="I133" s="123"/>
      <c r="J133" s="131"/>
      <c r="K133" s="123"/>
      <c r="L133" s="123"/>
      <c r="M133" s="123"/>
      <c r="N133" s="123"/>
    </row>
    <row r="134" spans="2:14">
      <c r="B134" s="159"/>
      <c r="C134" s="123"/>
      <c r="D134" s="131"/>
      <c r="E134" s="123"/>
      <c r="F134" s="123"/>
      <c r="G134" s="123"/>
      <c r="H134" s="130"/>
      <c r="I134" s="123"/>
      <c r="J134" s="131"/>
      <c r="K134" s="123"/>
      <c r="L134" s="123"/>
      <c r="M134" s="123"/>
      <c r="N134" s="123"/>
    </row>
    <row r="135" spans="2:14">
      <c r="B135" s="159"/>
      <c r="C135" s="123"/>
      <c r="D135" s="131"/>
      <c r="E135" s="123"/>
      <c r="F135" s="123"/>
      <c r="G135" s="123"/>
      <c r="H135" s="130"/>
      <c r="I135" s="123"/>
      <c r="J135" s="131"/>
      <c r="K135" s="123"/>
      <c r="L135" s="123"/>
      <c r="M135" s="123"/>
      <c r="N135" s="123"/>
    </row>
    <row r="136" spans="2:14">
      <c r="B136" s="159"/>
      <c r="C136" s="123"/>
      <c r="D136" s="131"/>
      <c r="E136" s="123"/>
      <c r="F136" s="123"/>
      <c r="G136" s="123"/>
      <c r="H136" s="130"/>
      <c r="I136" s="123"/>
      <c r="J136" s="131"/>
      <c r="K136" s="123"/>
      <c r="L136" s="123"/>
      <c r="M136" s="123"/>
      <c r="N136" s="123"/>
    </row>
    <row r="137" spans="2:14">
      <c r="B137" s="159"/>
      <c r="C137" s="123"/>
      <c r="D137" s="131"/>
      <c r="E137" s="123"/>
      <c r="F137" s="123"/>
      <c r="G137" s="123"/>
      <c r="H137" s="130"/>
      <c r="I137" s="123"/>
      <c r="J137" s="131"/>
      <c r="K137" s="123"/>
      <c r="L137" s="123"/>
      <c r="M137" s="123"/>
      <c r="N137" s="123"/>
    </row>
    <row r="138" spans="2:14">
      <c r="B138" s="159"/>
      <c r="C138" s="123"/>
      <c r="D138" s="131"/>
      <c r="E138" s="123"/>
      <c r="F138" s="123"/>
      <c r="G138" s="123"/>
      <c r="H138" s="130"/>
      <c r="I138" s="123"/>
      <c r="J138" s="131"/>
      <c r="K138" s="123"/>
      <c r="L138" s="123"/>
      <c r="M138" s="123"/>
      <c r="N138" s="123"/>
    </row>
    <row r="139" spans="2:14">
      <c r="B139" s="159"/>
      <c r="C139" s="123"/>
      <c r="D139" s="131"/>
      <c r="E139" s="123"/>
      <c r="F139" s="123"/>
      <c r="G139" s="123"/>
      <c r="H139" s="130"/>
      <c r="I139" s="123"/>
      <c r="J139" s="131"/>
      <c r="K139" s="123"/>
      <c r="L139" s="123"/>
      <c r="M139" s="123"/>
      <c r="N139" s="123"/>
    </row>
    <row r="140" spans="2:14">
      <c r="B140" s="159"/>
      <c r="C140" s="123"/>
      <c r="D140" s="131"/>
      <c r="E140" s="123"/>
      <c r="F140" s="123"/>
      <c r="G140" s="123"/>
      <c r="H140" s="130"/>
      <c r="I140" s="123"/>
      <c r="J140" s="131"/>
      <c r="K140" s="123"/>
      <c r="L140" s="123"/>
      <c r="M140" s="123"/>
      <c r="N140" s="123"/>
    </row>
    <row r="141" spans="2:14">
      <c r="B141" s="159"/>
      <c r="C141" s="123"/>
      <c r="D141" s="131"/>
      <c r="E141" s="123"/>
      <c r="F141" s="123"/>
      <c r="G141" s="123"/>
      <c r="H141" s="130"/>
      <c r="I141" s="123"/>
      <c r="J141" s="131"/>
      <c r="K141" s="123"/>
      <c r="L141" s="123"/>
      <c r="M141" s="123"/>
      <c r="N141" s="123"/>
    </row>
    <row r="142" spans="2:14">
      <c r="B142" s="159"/>
      <c r="C142" s="123"/>
      <c r="D142" s="131"/>
      <c r="E142" s="123"/>
      <c r="F142" s="123"/>
      <c r="G142" s="123"/>
      <c r="H142" s="130"/>
      <c r="I142" s="123"/>
      <c r="J142" s="131"/>
      <c r="K142" s="123"/>
      <c r="L142" s="123"/>
      <c r="M142" s="123"/>
      <c r="N142" s="123"/>
    </row>
    <row r="143" spans="2:14">
      <c r="B143" s="159"/>
      <c r="C143" s="123"/>
      <c r="D143" s="131"/>
      <c r="E143" s="123"/>
      <c r="F143" s="123"/>
      <c r="G143" s="123"/>
      <c r="H143" s="130"/>
      <c r="I143" s="123"/>
      <c r="J143" s="131"/>
      <c r="K143" s="123"/>
      <c r="L143" s="123"/>
      <c r="M143" s="123"/>
      <c r="N143" s="123"/>
    </row>
    <row r="144" spans="2:14">
      <c r="B144" s="159"/>
      <c r="C144" s="123"/>
      <c r="D144" s="131"/>
      <c r="E144" s="123"/>
      <c r="F144" s="123"/>
      <c r="G144" s="123"/>
      <c r="H144" s="130"/>
      <c r="I144" s="123"/>
      <c r="J144" s="131"/>
      <c r="K144" s="123"/>
      <c r="L144" s="123"/>
      <c r="M144" s="123"/>
      <c r="N144" s="123"/>
    </row>
    <row r="145" spans="2:14">
      <c r="B145" s="159"/>
      <c r="C145" s="123"/>
      <c r="D145" s="131"/>
      <c r="E145" s="123"/>
      <c r="F145" s="123"/>
      <c r="G145" s="123"/>
      <c r="H145" s="130"/>
      <c r="I145" s="123"/>
      <c r="J145" s="131"/>
      <c r="K145" s="123"/>
      <c r="L145" s="123"/>
      <c r="M145" s="123"/>
      <c r="N145" s="123"/>
    </row>
    <row r="146" spans="2:14">
      <c r="B146" s="159"/>
      <c r="C146" s="123"/>
      <c r="D146" s="131"/>
      <c r="E146" s="123"/>
      <c r="F146" s="123"/>
      <c r="G146" s="123"/>
      <c r="H146" s="130"/>
      <c r="I146" s="123"/>
      <c r="J146" s="131"/>
      <c r="K146" s="123"/>
      <c r="L146" s="123"/>
      <c r="M146" s="123"/>
      <c r="N146" s="123"/>
    </row>
    <row r="147" spans="2:14">
      <c r="B147" s="159"/>
      <c r="C147" s="123"/>
      <c r="D147" s="131"/>
      <c r="E147" s="123"/>
      <c r="F147" s="123"/>
      <c r="G147" s="123"/>
      <c r="H147" s="130"/>
      <c r="I147" s="123"/>
      <c r="J147" s="131"/>
      <c r="K147" s="123"/>
      <c r="L147" s="123"/>
      <c r="M147" s="123"/>
      <c r="N147" s="123"/>
    </row>
    <row r="148" spans="2:14">
      <c r="B148" s="159"/>
      <c r="C148" s="123"/>
      <c r="D148" s="131"/>
      <c r="E148" s="123"/>
      <c r="F148" s="123"/>
      <c r="G148" s="123"/>
      <c r="H148" s="130"/>
      <c r="I148" s="123"/>
      <c r="J148" s="131"/>
      <c r="K148" s="123"/>
      <c r="L148" s="123"/>
      <c r="M148" s="123"/>
      <c r="N148" s="123"/>
    </row>
    <row r="149" spans="2:14">
      <c r="B149" s="159"/>
      <c r="C149" s="123"/>
      <c r="D149" s="131"/>
      <c r="E149" s="123"/>
      <c r="F149" s="123"/>
      <c r="G149" s="123"/>
      <c r="H149" s="130"/>
      <c r="I149" s="123"/>
      <c r="J149" s="131"/>
      <c r="K149" s="123"/>
      <c r="L149" s="123"/>
      <c r="M149" s="123"/>
      <c r="N149" s="123"/>
    </row>
    <row r="150" spans="2:14">
      <c r="B150" s="159"/>
      <c r="C150" s="123"/>
      <c r="D150" s="131"/>
      <c r="E150" s="123"/>
      <c r="F150" s="123"/>
      <c r="G150" s="123"/>
      <c r="H150" s="130"/>
      <c r="I150" s="123"/>
      <c r="J150" s="131"/>
      <c r="K150" s="123"/>
      <c r="L150" s="123"/>
      <c r="M150" s="123"/>
      <c r="N150" s="123"/>
    </row>
    <row r="151" spans="2:14">
      <c r="B151" s="159"/>
      <c r="C151" s="123"/>
      <c r="D151" s="131"/>
      <c r="E151" s="123"/>
      <c r="F151" s="123"/>
      <c r="G151" s="123"/>
      <c r="H151" s="130"/>
      <c r="I151" s="123"/>
      <c r="J151" s="131"/>
      <c r="K151" s="123"/>
      <c r="L151" s="123"/>
      <c r="M151" s="123"/>
      <c r="N151" s="123"/>
    </row>
    <row r="152" spans="2:14">
      <c r="B152" s="159"/>
      <c r="C152" s="123"/>
      <c r="D152" s="131"/>
      <c r="E152" s="123"/>
      <c r="F152" s="123"/>
      <c r="G152" s="123"/>
      <c r="H152" s="130"/>
      <c r="I152" s="123"/>
      <c r="J152" s="131"/>
      <c r="K152" s="123"/>
      <c r="L152" s="123"/>
      <c r="M152" s="123"/>
      <c r="N152" s="123"/>
    </row>
    <row r="153" spans="2:14">
      <c r="B153" s="159"/>
      <c r="C153" s="123"/>
      <c r="D153" s="131"/>
      <c r="E153" s="123"/>
      <c r="F153" s="123"/>
      <c r="G153" s="123"/>
      <c r="H153" s="130"/>
      <c r="I153" s="123"/>
      <c r="J153" s="131"/>
      <c r="K153" s="123"/>
      <c r="L153" s="123"/>
      <c r="M153" s="123"/>
      <c r="N153" s="123"/>
    </row>
    <row r="154" spans="2:14">
      <c r="B154" s="159"/>
      <c r="C154" s="123"/>
      <c r="D154" s="131"/>
      <c r="E154" s="123"/>
      <c r="F154" s="123"/>
      <c r="G154" s="123"/>
      <c r="H154" s="130"/>
      <c r="I154" s="123"/>
      <c r="J154" s="131"/>
      <c r="K154" s="123"/>
      <c r="L154" s="123"/>
      <c r="M154" s="123"/>
      <c r="N154" s="123"/>
    </row>
    <row r="155" spans="2:14">
      <c r="B155" s="159"/>
      <c r="C155" s="123"/>
      <c r="D155" s="131"/>
      <c r="E155" s="123"/>
      <c r="F155" s="123"/>
      <c r="G155" s="123"/>
      <c r="H155" s="130"/>
      <c r="I155" s="123"/>
      <c r="J155" s="131"/>
      <c r="K155" s="123"/>
      <c r="L155" s="123"/>
      <c r="M155" s="123"/>
      <c r="N155" s="123"/>
    </row>
    <row r="156" spans="2:14">
      <c r="B156" s="159"/>
      <c r="C156" s="123"/>
      <c r="D156" s="131"/>
      <c r="E156" s="123"/>
      <c r="F156" s="123"/>
      <c r="G156" s="123"/>
      <c r="H156" s="130"/>
      <c r="I156" s="123"/>
      <c r="J156" s="131"/>
      <c r="K156" s="123"/>
      <c r="L156" s="123"/>
      <c r="M156" s="123"/>
      <c r="N156" s="123"/>
    </row>
    <row r="157" spans="2:14">
      <c r="B157" s="159"/>
      <c r="C157" s="123"/>
      <c r="D157" s="131"/>
      <c r="E157" s="123"/>
      <c r="F157" s="123"/>
      <c r="G157" s="123"/>
      <c r="H157" s="130"/>
      <c r="I157" s="123"/>
      <c r="J157" s="131"/>
      <c r="K157" s="123"/>
      <c r="L157" s="123"/>
      <c r="M157" s="123"/>
      <c r="N157" s="123"/>
    </row>
    <row r="158" spans="2:14">
      <c r="B158" s="159"/>
      <c r="C158" s="123"/>
      <c r="D158" s="131"/>
      <c r="E158" s="123"/>
      <c r="F158" s="123"/>
      <c r="G158" s="123"/>
      <c r="H158" s="130"/>
      <c r="I158" s="123"/>
      <c r="J158" s="131"/>
      <c r="K158" s="123"/>
      <c r="L158" s="123"/>
      <c r="M158" s="123"/>
      <c r="N158" s="123"/>
    </row>
    <row r="159" spans="2:14">
      <c r="B159" s="159"/>
      <c r="C159" s="123"/>
      <c r="D159" s="131"/>
      <c r="E159" s="123"/>
      <c r="F159" s="123"/>
      <c r="G159" s="123"/>
      <c r="H159" s="130"/>
      <c r="I159" s="123"/>
      <c r="J159" s="131"/>
      <c r="K159" s="123"/>
      <c r="L159" s="123"/>
      <c r="M159" s="123"/>
      <c r="N159" s="123"/>
    </row>
    <row r="160" spans="2:14">
      <c r="B160" s="159"/>
      <c r="C160" s="123"/>
      <c r="D160" s="131"/>
      <c r="E160" s="123"/>
      <c r="F160" s="123"/>
      <c r="G160" s="123"/>
      <c r="H160" s="130"/>
      <c r="I160" s="123"/>
      <c r="J160" s="131"/>
      <c r="K160" s="123"/>
      <c r="L160" s="123"/>
      <c r="M160" s="123"/>
      <c r="N160" s="123"/>
    </row>
    <row r="161" spans="2:14">
      <c r="B161" s="159"/>
      <c r="C161" s="123"/>
      <c r="D161" s="131"/>
      <c r="E161" s="123"/>
      <c r="F161" s="123"/>
      <c r="G161" s="123"/>
      <c r="H161" s="130"/>
      <c r="I161" s="123"/>
      <c r="J161" s="131"/>
      <c r="K161" s="123"/>
      <c r="L161" s="123"/>
      <c r="M161" s="123"/>
      <c r="N161" s="123"/>
    </row>
    <row r="162" spans="2:14">
      <c r="B162" s="159"/>
      <c r="C162" s="123"/>
      <c r="D162" s="131"/>
      <c r="E162" s="123"/>
      <c r="F162" s="123"/>
      <c r="G162" s="123"/>
      <c r="H162" s="130"/>
      <c r="I162" s="123"/>
      <c r="J162" s="131"/>
      <c r="K162" s="123"/>
      <c r="L162" s="123"/>
      <c r="M162" s="123"/>
      <c r="N162" s="123"/>
    </row>
    <row r="163" spans="2:14">
      <c r="B163" s="159"/>
      <c r="C163" s="123"/>
      <c r="D163" s="131"/>
      <c r="E163" s="123"/>
      <c r="F163" s="123"/>
      <c r="G163" s="123"/>
      <c r="H163" s="130"/>
      <c r="I163" s="123"/>
      <c r="J163" s="131"/>
      <c r="K163" s="123"/>
      <c r="L163" s="123"/>
      <c r="M163" s="123"/>
      <c r="N163" s="123"/>
    </row>
    <row r="164" spans="2:14">
      <c r="B164" s="159"/>
      <c r="C164" s="123"/>
      <c r="D164" s="131"/>
      <c r="E164" s="123"/>
      <c r="F164" s="123"/>
      <c r="G164" s="123"/>
      <c r="H164" s="130"/>
      <c r="I164" s="123"/>
      <c r="J164" s="131"/>
      <c r="K164" s="123"/>
      <c r="L164" s="123"/>
      <c r="M164" s="123"/>
      <c r="N164" s="123"/>
    </row>
    <row r="165" spans="2:14">
      <c r="B165" s="159"/>
      <c r="C165" s="123"/>
      <c r="D165" s="131"/>
      <c r="E165" s="123"/>
      <c r="F165" s="123"/>
      <c r="G165" s="123"/>
      <c r="H165" s="130"/>
      <c r="I165" s="123"/>
      <c r="J165" s="131"/>
      <c r="K165" s="123"/>
      <c r="L165" s="123"/>
      <c r="M165" s="123"/>
      <c r="N165" s="123"/>
    </row>
    <row r="166" spans="2:14">
      <c r="B166" s="159"/>
      <c r="C166" s="123"/>
      <c r="D166" s="131"/>
      <c r="E166" s="123"/>
      <c r="F166" s="123"/>
      <c r="G166" s="123"/>
      <c r="H166" s="130"/>
      <c r="I166" s="123"/>
      <c r="J166" s="131"/>
      <c r="K166" s="123"/>
      <c r="L166" s="123"/>
      <c r="M166" s="123"/>
      <c r="N166" s="123"/>
    </row>
    <row r="167" spans="2:14">
      <c r="B167" s="159"/>
      <c r="C167" s="123"/>
      <c r="D167" s="131"/>
      <c r="E167" s="123"/>
      <c r="F167" s="123"/>
      <c r="G167" s="123"/>
      <c r="H167" s="130"/>
      <c r="I167" s="123"/>
      <c r="J167" s="131"/>
      <c r="K167" s="123"/>
      <c r="L167" s="123"/>
      <c r="M167" s="123"/>
      <c r="N167" s="123"/>
    </row>
    <row r="168" spans="2:14">
      <c r="B168" s="159"/>
      <c r="C168" s="123"/>
      <c r="D168" s="131"/>
      <c r="E168" s="123"/>
      <c r="F168" s="123"/>
      <c r="G168" s="123"/>
      <c r="H168" s="130"/>
      <c r="I168" s="123"/>
      <c r="J168" s="131"/>
      <c r="K168" s="123"/>
      <c r="L168" s="123"/>
      <c r="M168" s="123"/>
      <c r="N168" s="123"/>
    </row>
    <row r="169" spans="2:14">
      <c r="B169" s="159"/>
      <c r="C169" s="123"/>
      <c r="D169" s="131"/>
      <c r="E169" s="123"/>
      <c r="F169" s="123"/>
      <c r="G169" s="123"/>
      <c r="H169" s="130"/>
      <c r="I169" s="123"/>
      <c r="J169" s="131"/>
      <c r="K169" s="123"/>
      <c r="L169" s="123"/>
      <c r="M169" s="123"/>
      <c r="N169" s="123"/>
    </row>
    <row r="170" spans="2:14">
      <c r="B170" s="159"/>
      <c r="C170" s="123"/>
      <c r="D170" s="131"/>
      <c r="E170" s="123"/>
      <c r="F170" s="123"/>
      <c r="G170" s="123"/>
      <c r="H170" s="130"/>
      <c r="I170" s="123"/>
      <c r="J170" s="131"/>
      <c r="K170" s="123"/>
      <c r="L170" s="123"/>
      <c r="M170" s="123"/>
      <c r="N170" s="123"/>
    </row>
    <row r="171" spans="2:14">
      <c r="B171" s="159"/>
      <c r="C171" s="123"/>
      <c r="D171" s="131"/>
      <c r="E171" s="123"/>
      <c r="F171" s="123"/>
      <c r="G171" s="123"/>
      <c r="H171" s="130"/>
      <c r="I171" s="123"/>
      <c r="J171" s="131"/>
      <c r="K171" s="123"/>
      <c r="L171" s="123"/>
      <c r="M171" s="123"/>
      <c r="N171" s="123"/>
    </row>
    <row r="172" spans="2:14">
      <c r="B172" s="159"/>
      <c r="C172" s="123"/>
      <c r="D172" s="131"/>
      <c r="E172" s="123"/>
      <c r="F172" s="123"/>
      <c r="G172" s="123"/>
      <c r="H172" s="130"/>
      <c r="I172" s="123"/>
      <c r="J172" s="131"/>
      <c r="K172" s="123"/>
      <c r="L172" s="123"/>
      <c r="M172" s="123"/>
      <c r="N172" s="123"/>
    </row>
    <row r="173" spans="2:14">
      <c r="B173" s="159"/>
      <c r="C173" s="123"/>
      <c r="D173" s="131"/>
      <c r="E173" s="123"/>
      <c r="F173" s="123"/>
      <c r="G173" s="123"/>
      <c r="H173" s="130"/>
      <c r="I173" s="123"/>
      <c r="J173" s="131"/>
      <c r="K173" s="123"/>
      <c r="L173" s="123"/>
      <c r="M173" s="123"/>
      <c r="N173" s="123"/>
    </row>
    <row r="174" spans="2:14">
      <c r="B174" s="159"/>
      <c r="C174" s="123"/>
      <c r="D174" s="131"/>
      <c r="E174" s="123"/>
      <c r="F174" s="123"/>
      <c r="G174" s="123"/>
      <c r="H174" s="130"/>
      <c r="I174" s="123"/>
      <c r="J174" s="131"/>
      <c r="K174" s="123"/>
      <c r="L174" s="123"/>
      <c r="M174" s="123"/>
      <c r="N174" s="123"/>
    </row>
    <row r="175" spans="2:14">
      <c r="B175" s="159"/>
      <c r="C175" s="123"/>
      <c r="D175" s="131"/>
      <c r="E175" s="123"/>
      <c r="F175" s="123"/>
      <c r="G175" s="123"/>
      <c r="H175" s="130"/>
      <c r="I175" s="123"/>
      <c r="J175" s="131"/>
      <c r="K175" s="123"/>
      <c r="L175" s="123"/>
      <c r="M175" s="123"/>
      <c r="N175" s="123"/>
    </row>
    <row r="176" spans="2:14">
      <c r="B176" s="159"/>
      <c r="C176" s="123"/>
      <c r="D176" s="131"/>
      <c r="E176" s="123"/>
      <c r="F176" s="123"/>
      <c r="G176" s="123"/>
      <c r="H176" s="130"/>
      <c r="I176" s="123"/>
      <c r="J176" s="131"/>
      <c r="K176" s="123"/>
      <c r="L176" s="123"/>
      <c r="M176" s="123"/>
      <c r="N176" s="123"/>
    </row>
    <row r="177" spans="2:14">
      <c r="B177" s="159"/>
      <c r="C177" s="123"/>
      <c r="D177" s="131"/>
      <c r="E177" s="123"/>
      <c r="F177" s="123"/>
      <c r="G177" s="123"/>
      <c r="H177" s="130"/>
      <c r="I177" s="123"/>
      <c r="J177" s="131"/>
      <c r="K177" s="123"/>
      <c r="L177" s="123"/>
      <c r="M177" s="123"/>
      <c r="N177" s="123"/>
    </row>
    <row r="178" spans="2:14">
      <c r="B178" s="159"/>
      <c r="C178" s="123"/>
      <c r="D178" s="131"/>
      <c r="E178" s="123"/>
      <c r="F178" s="123"/>
      <c r="G178" s="123"/>
      <c r="H178" s="130"/>
      <c r="I178" s="123"/>
      <c r="J178" s="131"/>
      <c r="K178" s="123"/>
      <c r="L178" s="123"/>
      <c r="M178" s="123"/>
      <c r="N178" s="123"/>
    </row>
    <row r="179" spans="2:14">
      <c r="B179" s="159"/>
      <c r="C179" s="123"/>
      <c r="D179" s="131"/>
      <c r="E179" s="123"/>
      <c r="F179" s="123"/>
      <c r="G179" s="123"/>
      <c r="H179" s="130"/>
      <c r="I179" s="123"/>
      <c r="J179" s="131"/>
      <c r="K179" s="123"/>
      <c r="L179" s="123"/>
      <c r="M179" s="123"/>
      <c r="N179" s="123"/>
    </row>
    <row r="180" spans="2:14">
      <c r="B180" s="159"/>
      <c r="C180" s="123"/>
      <c r="D180" s="131"/>
      <c r="E180" s="123"/>
      <c r="F180" s="123"/>
      <c r="G180" s="123"/>
      <c r="H180" s="130"/>
      <c r="I180" s="123"/>
      <c r="J180" s="131"/>
      <c r="K180" s="123"/>
      <c r="L180" s="123"/>
      <c r="M180" s="123"/>
      <c r="N180" s="123"/>
    </row>
    <row r="181" spans="2:14">
      <c r="B181" s="159"/>
      <c r="C181" s="123"/>
      <c r="D181" s="131"/>
      <c r="E181" s="123"/>
      <c r="F181" s="123"/>
      <c r="G181" s="123"/>
      <c r="H181" s="130"/>
      <c r="I181" s="123"/>
      <c r="J181" s="131"/>
      <c r="K181" s="123"/>
      <c r="L181" s="123"/>
      <c r="M181" s="123"/>
      <c r="N181" s="123"/>
    </row>
    <row r="182" spans="2:14">
      <c r="B182" s="159"/>
      <c r="C182" s="123"/>
      <c r="D182" s="131"/>
      <c r="E182" s="123"/>
      <c r="F182" s="123"/>
      <c r="G182" s="123"/>
      <c r="H182" s="130"/>
      <c r="I182" s="123"/>
      <c r="J182" s="131"/>
      <c r="K182" s="123"/>
      <c r="L182" s="123"/>
      <c r="M182" s="123"/>
      <c r="N182" s="123"/>
    </row>
    <row r="183" spans="2:14">
      <c r="B183" s="159"/>
      <c r="C183" s="123"/>
      <c r="D183" s="131"/>
      <c r="E183" s="123"/>
      <c r="F183" s="123"/>
      <c r="G183" s="123"/>
      <c r="H183" s="130"/>
      <c r="I183" s="123"/>
      <c r="J183" s="131"/>
      <c r="K183" s="123"/>
      <c r="L183" s="123"/>
      <c r="M183" s="123"/>
      <c r="N183" s="123"/>
    </row>
    <row r="184" spans="2:14">
      <c r="B184" s="159"/>
      <c r="C184" s="123"/>
      <c r="D184" s="131"/>
      <c r="E184" s="123"/>
      <c r="F184" s="123"/>
      <c r="G184" s="123"/>
      <c r="H184" s="130"/>
      <c r="I184" s="123"/>
      <c r="J184" s="131"/>
      <c r="K184" s="123"/>
      <c r="L184" s="123"/>
      <c r="M184" s="123"/>
      <c r="N184" s="123"/>
    </row>
    <row r="185" spans="2:14">
      <c r="B185" s="159"/>
      <c r="C185" s="123"/>
      <c r="D185" s="131"/>
      <c r="E185" s="123"/>
      <c r="F185" s="123"/>
      <c r="G185" s="123"/>
      <c r="H185" s="130"/>
      <c r="I185" s="123"/>
      <c r="J185" s="131"/>
      <c r="K185" s="123"/>
      <c r="L185" s="123"/>
      <c r="M185" s="123"/>
      <c r="N185" s="123"/>
    </row>
    <row r="186" spans="2:14">
      <c r="B186" s="159"/>
      <c r="C186" s="123"/>
      <c r="D186" s="131"/>
      <c r="E186" s="123"/>
      <c r="F186" s="123"/>
      <c r="G186" s="123"/>
      <c r="H186" s="130"/>
      <c r="I186" s="123"/>
      <c r="J186" s="131"/>
      <c r="K186" s="123"/>
      <c r="L186" s="123"/>
      <c r="M186" s="123"/>
      <c r="N186" s="123"/>
    </row>
    <row r="187" spans="2:14">
      <c r="B187" s="159"/>
      <c r="C187" s="123"/>
      <c r="D187" s="131"/>
      <c r="E187" s="123"/>
      <c r="F187" s="123"/>
      <c r="G187" s="123"/>
      <c r="H187" s="130"/>
      <c r="I187" s="123"/>
      <c r="J187" s="131"/>
      <c r="K187" s="123"/>
      <c r="L187" s="123"/>
      <c r="M187" s="123"/>
      <c r="N187" s="123"/>
    </row>
    <row r="188" spans="2:14">
      <c r="B188" s="159"/>
      <c r="C188" s="123"/>
      <c r="D188" s="131"/>
      <c r="E188" s="123"/>
      <c r="F188" s="123"/>
      <c r="G188" s="123"/>
      <c r="H188" s="130"/>
      <c r="I188" s="123"/>
      <c r="J188" s="131"/>
      <c r="K188" s="123"/>
      <c r="L188" s="123"/>
      <c r="M188" s="123"/>
      <c r="N188" s="123"/>
    </row>
    <row r="189" spans="2:14">
      <c r="B189" s="159"/>
      <c r="C189" s="123"/>
      <c r="D189" s="131"/>
      <c r="E189" s="123"/>
      <c r="F189" s="123"/>
      <c r="G189" s="123"/>
      <c r="H189" s="130"/>
      <c r="I189" s="123"/>
      <c r="J189" s="131"/>
      <c r="K189" s="123"/>
      <c r="L189" s="123"/>
      <c r="M189" s="123"/>
      <c r="N189" s="123"/>
    </row>
    <row r="190" spans="2:14">
      <c r="B190" s="159"/>
      <c r="C190" s="123"/>
      <c r="D190" s="131"/>
      <c r="E190" s="123"/>
      <c r="F190" s="123"/>
      <c r="G190" s="123"/>
      <c r="H190" s="130"/>
      <c r="I190" s="123"/>
      <c r="J190" s="131"/>
      <c r="K190" s="123"/>
      <c r="L190" s="123"/>
      <c r="M190" s="123"/>
      <c r="N190" s="123"/>
    </row>
    <row r="191" spans="2:14">
      <c r="B191" s="159"/>
      <c r="C191" s="123"/>
      <c r="D191" s="131"/>
      <c r="E191" s="123"/>
      <c r="F191" s="123"/>
      <c r="G191" s="123"/>
      <c r="H191" s="130"/>
      <c r="I191" s="123"/>
      <c r="J191" s="131"/>
      <c r="K191" s="123"/>
      <c r="L191" s="123"/>
      <c r="M191" s="123"/>
      <c r="N191" s="123"/>
    </row>
    <row r="192" spans="2:14">
      <c r="B192" s="159"/>
      <c r="C192" s="123"/>
      <c r="D192" s="131"/>
      <c r="E192" s="123"/>
      <c r="F192" s="123"/>
      <c r="G192" s="123"/>
      <c r="H192" s="130"/>
      <c r="I192" s="123"/>
      <c r="J192" s="131"/>
      <c r="K192" s="123"/>
      <c r="L192" s="123"/>
      <c r="M192" s="123"/>
      <c r="N192" s="123"/>
    </row>
    <row r="193" spans="2:14">
      <c r="B193" s="159"/>
      <c r="C193" s="123"/>
      <c r="D193" s="131"/>
      <c r="E193" s="123"/>
      <c r="F193" s="123"/>
      <c r="G193" s="123"/>
      <c r="H193" s="130"/>
      <c r="I193" s="123"/>
      <c r="J193" s="131"/>
      <c r="K193" s="123"/>
      <c r="L193" s="123"/>
      <c r="M193" s="123"/>
      <c r="N193" s="123"/>
    </row>
    <row r="194" spans="2:14">
      <c r="B194" s="159"/>
      <c r="C194" s="123"/>
      <c r="D194" s="131"/>
      <c r="E194" s="123"/>
      <c r="F194" s="123"/>
      <c r="G194" s="123"/>
      <c r="H194" s="130"/>
      <c r="I194" s="123"/>
      <c r="J194" s="131"/>
      <c r="K194" s="123"/>
      <c r="L194" s="123"/>
      <c r="M194" s="123"/>
      <c r="N194" s="123"/>
    </row>
    <row r="195" spans="2:14">
      <c r="B195" s="159"/>
      <c r="C195" s="123"/>
      <c r="D195" s="131"/>
      <c r="E195" s="123"/>
      <c r="F195" s="123"/>
      <c r="G195" s="123"/>
      <c r="H195" s="130"/>
      <c r="I195" s="123"/>
      <c r="J195" s="131"/>
      <c r="K195" s="123"/>
      <c r="L195" s="123"/>
      <c r="M195" s="123"/>
      <c r="N195" s="123"/>
    </row>
    <row r="196" spans="2:14">
      <c r="B196" s="159"/>
      <c r="C196" s="123"/>
      <c r="D196" s="131"/>
      <c r="E196" s="123"/>
      <c r="F196" s="123"/>
      <c r="G196" s="123"/>
      <c r="H196" s="130"/>
      <c r="I196" s="123"/>
      <c r="J196" s="131"/>
      <c r="K196" s="123"/>
      <c r="L196" s="123"/>
      <c r="M196" s="123"/>
      <c r="N196" s="123"/>
    </row>
    <row r="197" spans="2:14">
      <c r="B197" s="159"/>
      <c r="C197" s="123"/>
      <c r="D197" s="131"/>
      <c r="E197" s="123"/>
      <c r="F197" s="123"/>
      <c r="G197" s="123"/>
      <c r="H197" s="130"/>
      <c r="I197" s="123"/>
      <c r="J197" s="131"/>
      <c r="K197" s="123"/>
      <c r="L197" s="123"/>
      <c r="M197" s="123"/>
      <c r="N197" s="123"/>
    </row>
    <row r="198" spans="2:14">
      <c r="B198" s="159"/>
      <c r="C198" s="123"/>
      <c r="D198" s="131"/>
      <c r="E198" s="123"/>
      <c r="F198" s="123"/>
      <c r="G198" s="123"/>
      <c r="H198" s="130"/>
      <c r="I198" s="123"/>
      <c r="J198" s="131"/>
      <c r="K198" s="123"/>
      <c r="L198" s="123"/>
      <c r="M198" s="123"/>
      <c r="N198" s="123"/>
    </row>
    <row r="199" spans="2:14">
      <c r="B199" s="159"/>
      <c r="C199" s="123"/>
      <c r="D199" s="131"/>
      <c r="E199" s="123"/>
      <c r="F199" s="123"/>
      <c r="G199" s="123"/>
      <c r="H199" s="130"/>
      <c r="I199" s="123"/>
      <c r="J199" s="131"/>
      <c r="K199" s="123"/>
      <c r="L199" s="123"/>
      <c r="M199" s="123"/>
      <c r="N199" s="123"/>
    </row>
    <row r="200" spans="2:14">
      <c r="B200" s="159"/>
      <c r="C200" s="123"/>
      <c r="D200" s="131"/>
      <c r="E200" s="123"/>
      <c r="F200" s="123"/>
      <c r="G200" s="123"/>
      <c r="H200" s="130"/>
      <c r="I200" s="123"/>
      <c r="J200" s="131"/>
      <c r="K200" s="123"/>
      <c r="L200" s="123"/>
      <c r="M200" s="123"/>
      <c r="N200" s="123"/>
    </row>
    <row r="201" spans="2:14">
      <c r="B201" s="159"/>
      <c r="C201" s="123"/>
      <c r="D201" s="131"/>
      <c r="E201" s="123"/>
      <c r="F201" s="123"/>
      <c r="G201" s="123"/>
      <c r="H201" s="130"/>
      <c r="I201" s="123"/>
      <c r="J201" s="131"/>
      <c r="K201" s="123"/>
      <c r="L201" s="123"/>
      <c r="M201" s="123"/>
      <c r="N201" s="123"/>
    </row>
    <row r="202" spans="2:14">
      <c r="B202" s="159"/>
      <c r="C202" s="123"/>
      <c r="D202" s="131"/>
      <c r="E202" s="123"/>
      <c r="F202" s="123"/>
      <c r="G202" s="123"/>
      <c r="H202" s="130"/>
      <c r="I202" s="123"/>
      <c r="J202" s="131"/>
      <c r="K202" s="123"/>
      <c r="L202" s="123"/>
      <c r="M202" s="123"/>
      <c r="N202" s="123"/>
    </row>
    <row r="203" spans="2:14">
      <c r="B203" s="159"/>
      <c r="C203" s="123"/>
      <c r="D203" s="131"/>
      <c r="E203" s="123"/>
      <c r="F203" s="123"/>
      <c r="G203" s="123"/>
      <c r="H203" s="130"/>
      <c r="I203" s="123"/>
      <c r="J203" s="131"/>
      <c r="K203" s="123"/>
      <c r="L203" s="123"/>
      <c r="M203" s="123"/>
      <c r="N203" s="123"/>
    </row>
    <row r="204" spans="2:14">
      <c r="B204" s="159"/>
      <c r="C204" s="123"/>
      <c r="D204" s="131"/>
      <c r="E204" s="123"/>
      <c r="F204" s="123"/>
      <c r="G204" s="123"/>
      <c r="H204" s="130"/>
      <c r="I204" s="123"/>
      <c r="J204" s="131"/>
      <c r="K204" s="123"/>
      <c r="L204" s="123"/>
      <c r="M204" s="123"/>
      <c r="N204" s="123"/>
    </row>
    <row r="205" spans="2:14">
      <c r="B205" s="159"/>
      <c r="C205" s="123"/>
      <c r="D205" s="131"/>
      <c r="E205" s="123"/>
      <c r="F205" s="123"/>
      <c r="G205" s="123"/>
      <c r="H205" s="130"/>
      <c r="I205" s="123"/>
      <c r="J205" s="131"/>
      <c r="K205" s="123"/>
      <c r="L205" s="123"/>
      <c r="M205" s="123"/>
      <c r="N205" s="123"/>
    </row>
    <row r="206" spans="2:14">
      <c r="B206" s="159"/>
      <c r="C206" s="123"/>
      <c r="D206" s="131"/>
      <c r="E206" s="123"/>
      <c r="F206" s="123"/>
      <c r="G206" s="123"/>
      <c r="H206" s="130"/>
      <c r="I206" s="123"/>
      <c r="J206" s="131"/>
      <c r="K206" s="123"/>
      <c r="L206" s="123"/>
      <c r="M206" s="123"/>
      <c r="N206" s="123"/>
    </row>
    <row r="207" spans="2:14">
      <c r="B207" s="159"/>
      <c r="C207" s="123"/>
      <c r="D207" s="131"/>
      <c r="E207" s="123"/>
      <c r="F207" s="123"/>
      <c r="G207" s="123"/>
      <c r="H207" s="130"/>
      <c r="I207" s="123"/>
      <c r="J207" s="131"/>
      <c r="K207" s="123"/>
      <c r="L207" s="123"/>
      <c r="M207" s="123"/>
      <c r="N207" s="123"/>
    </row>
    <row r="208" spans="2:14">
      <c r="B208" s="159"/>
      <c r="C208" s="123"/>
      <c r="D208" s="131"/>
      <c r="E208" s="123"/>
      <c r="F208" s="123"/>
      <c r="G208" s="123"/>
      <c r="H208" s="130"/>
      <c r="I208" s="123"/>
      <c r="J208" s="131"/>
      <c r="K208" s="123"/>
      <c r="L208" s="123"/>
      <c r="M208" s="123"/>
      <c r="N208" s="123"/>
    </row>
    <row r="209" spans="2:14">
      <c r="B209" s="159"/>
      <c r="C209" s="123"/>
      <c r="D209" s="131"/>
      <c r="E209" s="123"/>
      <c r="F209" s="123"/>
      <c r="G209" s="123"/>
      <c r="H209" s="130"/>
      <c r="I209" s="123"/>
      <c r="J209" s="131"/>
      <c r="K209" s="123"/>
      <c r="L209" s="123"/>
      <c r="M209" s="123"/>
      <c r="N209" s="123"/>
    </row>
    <row r="210" spans="2:14">
      <c r="B210" s="159"/>
      <c r="C210" s="123"/>
      <c r="D210" s="131"/>
      <c r="E210" s="123"/>
      <c r="F210" s="123"/>
      <c r="G210" s="123"/>
      <c r="H210" s="130"/>
      <c r="I210" s="123"/>
      <c r="J210" s="131"/>
      <c r="K210" s="123"/>
      <c r="L210" s="123"/>
      <c r="M210" s="123"/>
      <c r="N210" s="123"/>
    </row>
    <row r="211" spans="2:14">
      <c r="B211" s="159"/>
      <c r="C211" s="123"/>
      <c r="D211" s="131"/>
      <c r="E211" s="123"/>
      <c r="F211" s="123"/>
      <c r="G211" s="123"/>
      <c r="H211" s="130"/>
      <c r="I211" s="123"/>
      <c r="J211" s="131"/>
      <c r="K211" s="123"/>
      <c r="L211" s="123"/>
      <c r="M211" s="123"/>
      <c r="N211" s="123"/>
    </row>
    <row r="212" spans="2:14">
      <c r="B212" s="159"/>
      <c r="C212" s="123"/>
      <c r="D212" s="131"/>
      <c r="E212" s="123"/>
      <c r="F212" s="123"/>
      <c r="G212" s="123"/>
      <c r="H212" s="130"/>
      <c r="I212" s="123"/>
      <c r="J212" s="131"/>
      <c r="K212" s="123"/>
      <c r="L212" s="123"/>
      <c r="M212" s="123"/>
      <c r="N212" s="123"/>
    </row>
    <row r="213" spans="2:14">
      <c r="B213" s="159"/>
      <c r="C213" s="123"/>
      <c r="D213" s="131"/>
      <c r="E213" s="123"/>
      <c r="F213" s="123"/>
      <c r="G213" s="123"/>
      <c r="H213" s="130"/>
      <c r="I213" s="123"/>
      <c r="J213" s="131"/>
      <c r="K213" s="123"/>
      <c r="L213" s="123"/>
      <c r="M213" s="123"/>
      <c r="N213" s="123"/>
    </row>
    <row r="214" spans="2:14">
      <c r="B214" s="159"/>
      <c r="C214" s="123"/>
      <c r="D214" s="131"/>
      <c r="E214" s="123"/>
      <c r="F214" s="123"/>
      <c r="G214" s="123"/>
      <c r="H214" s="130"/>
      <c r="I214" s="123"/>
      <c r="J214" s="131"/>
      <c r="K214" s="123"/>
      <c r="L214" s="123"/>
      <c r="M214" s="123"/>
      <c r="N214" s="123"/>
    </row>
    <row r="215" spans="2:14">
      <c r="B215" s="159"/>
      <c r="C215" s="123"/>
      <c r="D215" s="131"/>
      <c r="E215" s="123"/>
      <c r="F215" s="123"/>
      <c r="G215" s="123"/>
      <c r="H215" s="130"/>
      <c r="I215" s="123"/>
      <c r="J215" s="131"/>
      <c r="K215" s="123"/>
      <c r="L215" s="123"/>
      <c r="M215" s="123"/>
      <c r="N215" s="123"/>
    </row>
    <row r="216" spans="2:14">
      <c r="B216" s="159"/>
      <c r="C216" s="123"/>
      <c r="D216" s="131"/>
      <c r="E216" s="123"/>
      <c r="F216" s="123"/>
      <c r="G216" s="123"/>
      <c r="H216" s="130"/>
      <c r="I216" s="123"/>
      <c r="J216" s="131"/>
      <c r="K216" s="123"/>
      <c r="L216" s="123"/>
      <c r="M216" s="123"/>
      <c r="N216" s="123"/>
    </row>
    <row r="217" spans="2:14">
      <c r="B217" s="159"/>
      <c r="C217" s="123"/>
      <c r="D217" s="131"/>
      <c r="E217" s="123"/>
      <c r="F217" s="123"/>
      <c r="G217" s="123"/>
      <c r="H217" s="130"/>
      <c r="I217" s="123"/>
      <c r="J217" s="131"/>
      <c r="K217" s="123"/>
      <c r="L217" s="123"/>
      <c r="M217" s="123"/>
      <c r="N217" s="123"/>
    </row>
    <row r="218" spans="2:14">
      <c r="B218" s="159"/>
      <c r="C218" s="123"/>
      <c r="D218" s="131"/>
      <c r="E218" s="123"/>
      <c r="F218" s="123"/>
      <c r="G218" s="123"/>
      <c r="H218" s="130"/>
      <c r="I218" s="123"/>
      <c r="J218" s="131"/>
      <c r="K218" s="123"/>
      <c r="L218" s="123"/>
      <c r="M218" s="123"/>
      <c r="N218" s="123"/>
    </row>
    <row r="219" spans="2:14">
      <c r="B219" s="159"/>
      <c r="C219" s="123"/>
      <c r="D219" s="131"/>
      <c r="E219" s="123"/>
      <c r="F219" s="123"/>
      <c r="G219" s="123"/>
      <c r="H219" s="130"/>
      <c r="I219" s="123"/>
      <c r="J219" s="131"/>
      <c r="K219" s="123"/>
      <c r="L219" s="123"/>
      <c r="M219" s="123"/>
      <c r="N219" s="123"/>
    </row>
    <row r="220" spans="2:14">
      <c r="B220" s="159"/>
      <c r="C220" s="123"/>
      <c r="D220" s="131"/>
      <c r="E220" s="123"/>
      <c r="F220" s="123"/>
      <c r="G220" s="123"/>
      <c r="H220" s="130"/>
      <c r="I220" s="123"/>
      <c r="J220" s="131"/>
      <c r="K220" s="123"/>
      <c r="L220" s="123"/>
      <c r="M220" s="123"/>
      <c r="N220" s="123"/>
    </row>
    <row r="221" spans="2:14">
      <c r="B221" s="160"/>
      <c r="C221" s="133"/>
      <c r="D221" s="134"/>
      <c r="E221" s="133"/>
      <c r="F221" s="133"/>
      <c r="G221" s="133"/>
      <c r="H221" s="132"/>
      <c r="I221" s="133"/>
      <c r="J221" s="134"/>
      <c r="K221" s="135"/>
      <c r="L221" s="133"/>
      <c r="M221" s="133"/>
      <c r="N221" s="123"/>
    </row>
    <row r="222" spans="2:14">
      <c r="B222" s="160"/>
      <c r="C222" s="133"/>
      <c r="D222" s="134"/>
      <c r="E222" s="133"/>
      <c r="F222" s="133"/>
      <c r="G222" s="133"/>
      <c r="H222" s="132"/>
      <c r="I222" s="133"/>
      <c r="J222" s="134"/>
      <c r="K222" s="135"/>
      <c r="L222" s="133"/>
      <c r="M222" s="133"/>
      <c r="N222" s="123"/>
    </row>
    <row r="223" spans="2:14">
      <c r="N223" s="123"/>
    </row>
    <row r="224" spans="2:14">
      <c r="N224" s="133"/>
    </row>
    <row r="225" spans="14:14">
      <c r="N225" s="133"/>
    </row>
  </sheetData>
  <mergeCells count="118">
    <mergeCell ref="B66:C66"/>
    <mergeCell ref="B64:M64"/>
    <mergeCell ref="B61:G61"/>
    <mergeCell ref="B60:G60"/>
    <mergeCell ref="H61:M61"/>
    <mergeCell ref="I58:J58"/>
    <mergeCell ref="B59:G59"/>
    <mergeCell ref="C58:G58"/>
    <mergeCell ref="B62:M62"/>
    <mergeCell ref="K58:M58"/>
    <mergeCell ref="I59:J59"/>
    <mergeCell ref="K59:M59"/>
    <mergeCell ref="H60:M60"/>
    <mergeCell ref="C42:D42"/>
    <mergeCell ref="E53:G53"/>
    <mergeCell ref="C51:G51"/>
    <mergeCell ref="C52:G52"/>
    <mergeCell ref="E55:G55"/>
    <mergeCell ref="E54:G54"/>
    <mergeCell ref="K56:M56"/>
    <mergeCell ref="K54:M54"/>
    <mergeCell ref="K55:M55"/>
    <mergeCell ref="K48:M48"/>
    <mergeCell ref="K49:M49"/>
    <mergeCell ref="K50:M50"/>
    <mergeCell ref="K16:M16"/>
    <mergeCell ref="E17:G17"/>
    <mergeCell ref="E16:G16"/>
    <mergeCell ref="E15:G15"/>
    <mergeCell ref="K18:M18"/>
    <mergeCell ref="K19:M19"/>
    <mergeCell ref="E30:G30"/>
    <mergeCell ref="E37:G37"/>
    <mergeCell ref="I37:J37"/>
    <mergeCell ref="K37:M37"/>
    <mergeCell ref="K20:M20"/>
    <mergeCell ref="E34:G34"/>
    <mergeCell ref="E27:G27"/>
    <mergeCell ref="K33:M33"/>
    <mergeCell ref="K31:M31"/>
    <mergeCell ref="E29:G29"/>
    <mergeCell ref="E25:G25"/>
    <mergeCell ref="E21:G21"/>
    <mergeCell ref="E20:G20"/>
    <mergeCell ref="E19:G19"/>
    <mergeCell ref="E22:G22"/>
    <mergeCell ref="B67:C67"/>
    <mergeCell ref="D65:K65"/>
    <mergeCell ref="D66:K66"/>
    <mergeCell ref="D67:K67"/>
    <mergeCell ref="B65:C65"/>
    <mergeCell ref="C38:G38"/>
    <mergeCell ref="K52:M52"/>
    <mergeCell ref="I57:M57"/>
    <mergeCell ref="C40:G40"/>
    <mergeCell ref="C50:G50"/>
    <mergeCell ref="K51:M51"/>
    <mergeCell ref="K41:M41"/>
    <mergeCell ref="K42:M42"/>
    <mergeCell ref="E47:G47"/>
    <mergeCell ref="E49:G49"/>
    <mergeCell ref="C41:G41"/>
    <mergeCell ref="E57:G57"/>
    <mergeCell ref="K53:M53"/>
    <mergeCell ref="K40:M40"/>
    <mergeCell ref="E48:G48"/>
    <mergeCell ref="K46:M46"/>
    <mergeCell ref="K38:M38"/>
    <mergeCell ref="I39:M39"/>
    <mergeCell ref="E56:G56"/>
    <mergeCell ref="C6:G6"/>
    <mergeCell ref="K24:M24"/>
    <mergeCell ref="K25:M25"/>
    <mergeCell ref="K30:M30"/>
    <mergeCell ref="K29:M29"/>
    <mergeCell ref="E33:G33"/>
    <mergeCell ref="E23:G23"/>
    <mergeCell ref="E10:G10"/>
    <mergeCell ref="I17:M17"/>
    <mergeCell ref="E18:G18"/>
    <mergeCell ref="E8:G8"/>
    <mergeCell ref="C12:G12"/>
    <mergeCell ref="K13:M13"/>
    <mergeCell ref="E9:G9"/>
    <mergeCell ref="K32:M32"/>
    <mergeCell ref="K27:M27"/>
    <mergeCell ref="K28:M28"/>
    <mergeCell ref="K26:M26"/>
    <mergeCell ref="K12:M12"/>
    <mergeCell ref="E24:G24"/>
    <mergeCell ref="E26:G26"/>
    <mergeCell ref="K15:M15"/>
    <mergeCell ref="E14:G14"/>
    <mergeCell ref="K14:M14"/>
    <mergeCell ref="B2:I2"/>
    <mergeCell ref="E3:I3"/>
    <mergeCell ref="I5:M5"/>
    <mergeCell ref="C5:G5"/>
    <mergeCell ref="C3:D3"/>
    <mergeCell ref="C4:G4"/>
    <mergeCell ref="J2:M4"/>
    <mergeCell ref="C35:G35"/>
    <mergeCell ref="K47:M47"/>
    <mergeCell ref="I38:J38"/>
    <mergeCell ref="K35:M35"/>
    <mergeCell ref="C36:G36"/>
    <mergeCell ref="I36:M36"/>
    <mergeCell ref="E28:G28"/>
    <mergeCell ref="E31:G31"/>
    <mergeCell ref="E32:G32"/>
    <mergeCell ref="C39:G39"/>
    <mergeCell ref="C46:G46"/>
    <mergeCell ref="E7:G7"/>
    <mergeCell ref="K7:M7"/>
    <mergeCell ref="K8:M8"/>
    <mergeCell ref="K9:M11"/>
    <mergeCell ref="E11:G11"/>
    <mergeCell ref="C13:G13"/>
  </mergeCells>
  <phoneticPr fontId="23" type="noConversion"/>
  <conditionalFormatting sqref="E37">
    <cfRule type="expression" dxfId="17" priority="1" stopIfTrue="1">
      <formula>IF($E$37="X",TRUE,FALSE)</formula>
    </cfRule>
  </conditionalFormatting>
  <conditionalFormatting sqref="C53:E57">
    <cfRule type="expression" dxfId="16" priority="2" stopIfTrue="1">
      <formula>IF($AE$50="No Calibration",TRUE,FALSE)</formula>
    </cfRule>
  </conditionalFormatting>
  <conditionalFormatting sqref="C51">
    <cfRule type="cellIs" dxfId="15" priority="3" stopIfTrue="1" operator="equal">
      <formula>0</formula>
    </cfRule>
  </conditionalFormatting>
  <pageMargins left="0.59" right="0.28999999999999998" top="0.8" bottom="0.78" header="0.4921259845" footer="0.4921259845"/>
  <pageSetup paperSize="9" scale="47" orientation="portrait" r:id="rId1"/>
  <headerFooter alignWithMargins="0"/>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53"/>
  <sheetViews>
    <sheetView showRowColHeaders="0" zoomScale="85" zoomScaleNormal="85" zoomScaleSheetLayoutView="55" zoomScalePageLayoutView="40" workbookViewId="0">
      <selection activeCell="A15" sqref="A15"/>
    </sheetView>
  </sheetViews>
  <sheetFormatPr defaultRowHeight="15"/>
  <cols>
    <col min="1" max="1" width="165.85546875" style="328" bestFit="1" customWidth="1"/>
    <col min="2" max="16384" width="9.140625" style="328"/>
  </cols>
  <sheetData>
    <row r="1" spans="1:1" s="324" customFormat="1" ht="15.75">
      <c r="A1" s="336" t="s">
        <v>1160</v>
      </c>
    </row>
    <row r="2" spans="1:1">
      <c r="A2" s="332"/>
    </row>
    <row r="3" spans="1:1" s="325" customFormat="1" ht="12.75">
      <c r="A3" s="337" t="s">
        <v>1161</v>
      </c>
    </row>
    <row r="4" spans="1:1" s="325" customFormat="1" ht="12.75">
      <c r="A4" s="337" t="s">
        <v>1162</v>
      </c>
    </row>
    <row r="5" spans="1:1" s="326" customFormat="1" ht="12.75">
      <c r="A5" s="338" t="s">
        <v>1163</v>
      </c>
    </row>
    <row r="6" spans="1:1">
      <c r="A6" s="329" t="s">
        <v>1164</v>
      </c>
    </row>
    <row r="7" spans="1:1">
      <c r="A7" s="329" t="s">
        <v>1165</v>
      </c>
    </row>
    <row r="8" spans="1:1">
      <c r="A8" s="332" t="s">
        <v>1166</v>
      </c>
    </row>
    <row r="9" spans="1:1">
      <c r="A9" s="332" t="s">
        <v>1167</v>
      </c>
    </row>
    <row r="10" spans="1:1">
      <c r="A10" s="337" t="s">
        <v>1168</v>
      </c>
    </row>
    <row r="11" spans="1:1">
      <c r="A11" s="337" t="s">
        <v>1169</v>
      </c>
    </row>
    <row r="12" spans="1:1" s="327" customFormat="1" ht="12.75">
      <c r="A12" s="337" t="s">
        <v>1170</v>
      </c>
    </row>
    <row r="13" spans="1:1">
      <c r="A13" s="332"/>
    </row>
    <row r="14" spans="1:1">
      <c r="A14" s="329" t="s">
        <v>1171</v>
      </c>
    </row>
    <row r="15" spans="1:1" ht="30">
      <c r="A15" s="332" t="s">
        <v>1226</v>
      </c>
    </row>
    <row r="16" spans="1:1">
      <c r="A16" s="332" t="s">
        <v>1172</v>
      </c>
    </row>
    <row r="17" spans="1:1" s="326" customFormat="1" ht="12.75">
      <c r="A17" s="338" t="s">
        <v>1173</v>
      </c>
    </row>
    <row r="18" spans="1:1">
      <c r="A18" s="332" t="s">
        <v>1174</v>
      </c>
    </row>
    <row r="19" spans="1:1">
      <c r="A19" s="332" t="s">
        <v>1175</v>
      </c>
    </row>
    <row r="20" spans="1:1">
      <c r="A20" s="332" t="s">
        <v>1176</v>
      </c>
    </row>
    <row r="21" spans="1:1">
      <c r="A21" s="332" t="s">
        <v>1177</v>
      </c>
    </row>
    <row r="22" spans="1:1" ht="26.25">
      <c r="A22" s="329" t="s">
        <v>1178</v>
      </c>
    </row>
    <row r="23" spans="1:1" ht="25.5">
      <c r="A23" s="330" t="s">
        <v>1179</v>
      </c>
    </row>
    <row r="24" spans="1:1" ht="26.25">
      <c r="A24" s="329" t="s">
        <v>1180</v>
      </c>
    </row>
    <row r="25" spans="1:1">
      <c r="A25" s="332" t="s">
        <v>1181</v>
      </c>
    </row>
    <row r="26" spans="1:1">
      <c r="A26" s="332" t="s">
        <v>1182</v>
      </c>
    </row>
    <row r="27" spans="1:1">
      <c r="A27" s="332" t="s">
        <v>1183</v>
      </c>
    </row>
    <row r="28" spans="1:1" ht="45">
      <c r="A28" s="331" t="s">
        <v>1184</v>
      </c>
    </row>
    <row r="29" spans="1:1">
      <c r="A29" s="332" t="s">
        <v>1185</v>
      </c>
    </row>
    <row r="30" spans="1:1">
      <c r="A30" s="332" t="s">
        <v>1186</v>
      </c>
    </row>
    <row r="31" spans="1:1">
      <c r="A31" s="332" t="s">
        <v>1187</v>
      </c>
    </row>
    <row r="32" spans="1:1">
      <c r="A32" s="332" t="s">
        <v>1188</v>
      </c>
    </row>
    <row r="33" spans="1:1" ht="45">
      <c r="A33" s="332" t="s">
        <v>1189</v>
      </c>
    </row>
    <row r="34" spans="1:1">
      <c r="A34" s="332" t="s">
        <v>1190</v>
      </c>
    </row>
    <row r="35" spans="1:1">
      <c r="A35" s="332" t="s">
        <v>1191</v>
      </c>
    </row>
    <row r="36" spans="1:1">
      <c r="A36" s="332" t="s">
        <v>1192</v>
      </c>
    </row>
    <row r="37" spans="1:1">
      <c r="A37" s="332" t="s">
        <v>1193</v>
      </c>
    </row>
    <row r="38" spans="1:1">
      <c r="A38" s="338" t="s">
        <v>1194</v>
      </c>
    </row>
    <row r="39" spans="1:1">
      <c r="A39" s="332" t="s">
        <v>1203</v>
      </c>
    </row>
    <row r="40" spans="1:1" ht="30">
      <c r="A40" s="331" t="s">
        <v>1204</v>
      </c>
    </row>
    <row r="41" spans="1:1" ht="30">
      <c r="A41" s="332" t="s">
        <v>1205</v>
      </c>
    </row>
    <row r="42" spans="1:1">
      <c r="A42" s="332" t="s">
        <v>1206</v>
      </c>
    </row>
    <row r="43" spans="1:1">
      <c r="A43" s="332" t="s">
        <v>1195</v>
      </c>
    </row>
    <row r="44" spans="1:1">
      <c r="A44" s="332" t="s">
        <v>1207</v>
      </c>
    </row>
    <row r="45" spans="1:1">
      <c r="A45" s="332"/>
    </row>
    <row r="46" spans="1:1">
      <c r="A46" s="332"/>
    </row>
    <row r="47" spans="1:1">
      <c r="A47" s="339" t="s">
        <v>1196</v>
      </c>
    </row>
    <row r="48" spans="1:1" s="334" customFormat="1" ht="24">
      <c r="A48" s="333" t="s">
        <v>1197</v>
      </c>
    </row>
    <row r="49" spans="1:1" ht="48.75">
      <c r="A49" s="335" t="s">
        <v>1198</v>
      </c>
    </row>
    <row r="50" spans="1:1">
      <c r="A50" s="335" t="s">
        <v>1199</v>
      </c>
    </row>
    <row r="51" spans="1:1">
      <c r="A51" s="332"/>
    </row>
    <row r="52" spans="1:1">
      <c r="A52" s="332"/>
    </row>
    <row r="53" spans="1:1">
      <c r="A53" s="340" t="s">
        <v>1200</v>
      </c>
    </row>
  </sheetData>
  <pageMargins left="0.7" right="0.7" top="0.75" bottom="0.75" header="0.3" footer="0.3"/>
  <pageSetup paperSize="9" scale="98" orientation="portrait" r:id="rId1"/>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FR200"/>
  <sheetViews>
    <sheetView topLeftCell="CS1" zoomScale="85" zoomScaleNormal="85" workbookViewId="0">
      <selection activeCell="CX4" sqref="CX4"/>
    </sheetView>
  </sheetViews>
  <sheetFormatPr defaultColWidth="11.42578125" defaultRowHeight="14.25" customHeight="1"/>
  <cols>
    <col min="1" max="1" width="9.85546875" style="2" bestFit="1" customWidth="1"/>
    <col min="2" max="2" width="24.85546875" style="2" bestFit="1" customWidth="1"/>
    <col min="3" max="4" width="3.28515625" style="12" customWidth="1"/>
    <col min="5" max="5" width="5.7109375" style="12" customWidth="1"/>
    <col min="6" max="6" width="8.5703125" style="12" customWidth="1"/>
    <col min="7" max="7" width="5.7109375" style="12" customWidth="1"/>
    <col min="8" max="8" width="11.42578125" style="2"/>
    <col min="9" max="9" width="3.42578125" style="4" customWidth="1"/>
    <col min="10" max="10" width="5.7109375" style="2" customWidth="1"/>
    <col min="11" max="13" width="8.7109375" style="12" customWidth="1"/>
    <col min="14" max="14" width="10.28515625" style="12" customWidth="1"/>
    <col min="15" max="19" width="5.7109375" style="2" customWidth="1"/>
    <col min="20" max="21" width="25.7109375" style="2" bestFit="1" customWidth="1"/>
    <col min="22" max="22" width="3.42578125" style="2" customWidth="1"/>
    <col min="23" max="23" width="5.7109375" style="2" customWidth="1"/>
    <col min="24" max="24" width="23.7109375" style="2" customWidth="1"/>
    <col min="25" max="25" width="17.85546875" style="2" customWidth="1"/>
    <col min="26" max="26" width="5.7109375" style="2" customWidth="1"/>
    <col min="27" max="27" width="6.7109375" style="2" customWidth="1"/>
    <col min="28" max="28" width="5.42578125" style="2" customWidth="1"/>
    <col min="29" max="29" width="5.7109375" style="2" customWidth="1"/>
    <col min="30" max="31" width="11.42578125" style="2"/>
    <col min="32" max="32" width="5.7109375" style="2" customWidth="1"/>
    <col min="33" max="33" width="19" style="2" bestFit="1" customWidth="1"/>
    <col min="34" max="34" width="11.42578125" style="2"/>
    <col min="35" max="35" width="16" style="2" bestFit="1" customWidth="1"/>
    <col min="36" max="36" width="5.7109375" style="2" customWidth="1"/>
    <col min="37" max="37" width="16.7109375" style="2" bestFit="1" customWidth="1"/>
    <col min="38" max="38" width="5.7109375" style="2" customWidth="1"/>
    <col min="39" max="39" width="15.140625" style="2" bestFit="1" customWidth="1"/>
    <col min="40" max="40" width="5.7109375" style="2" customWidth="1"/>
    <col min="41" max="41" width="21.42578125" style="2" bestFit="1" customWidth="1"/>
    <col min="42" max="42" width="5.7109375" style="2" customWidth="1"/>
    <col min="43" max="43" width="19.5703125" style="2" bestFit="1" customWidth="1"/>
    <col min="44" max="44" width="3.28515625" style="2" bestFit="1" customWidth="1"/>
    <col min="45" max="45" width="5.7109375" style="2" customWidth="1"/>
    <col min="46" max="46" width="14.140625" style="2" customWidth="1"/>
    <col min="47" max="47" width="10.28515625" style="2" bestFit="1" customWidth="1"/>
    <col min="48" max="48" width="5.7109375" style="2" customWidth="1"/>
    <col min="49" max="49" width="32.7109375" style="2" bestFit="1" customWidth="1"/>
    <col min="50" max="50" width="14.140625" style="2" customWidth="1"/>
    <col min="51" max="51" width="3.7109375" style="2" bestFit="1" customWidth="1"/>
    <col min="52" max="52" width="5.7109375" style="2" customWidth="1"/>
    <col min="53" max="53" width="26.85546875" style="2" bestFit="1" customWidth="1"/>
    <col min="54" max="54" width="19.42578125" style="2" bestFit="1" customWidth="1"/>
    <col min="55" max="55" width="3.28515625" style="2" bestFit="1" customWidth="1"/>
    <col min="56" max="56" width="5.7109375" style="2" customWidth="1"/>
    <col min="57" max="57" width="15.5703125" style="2" customWidth="1"/>
    <col min="58" max="58" width="14" style="2" customWidth="1"/>
    <col min="59" max="59" width="2" style="2" bestFit="1" customWidth="1"/>
    <col min="60" max="60" width="2" style="2" customWidth="1"/>
    <col min="61" max="61" width="7.85546875" style="2" customWidth="1"/>
    <col min="62" max="62" width="5.7109375" style="2" customWidth="1"/>
    <col min="63" max="63" width="13.7109375" style="2" bestFit="1" customWidth="1"/>
    <col min="64" max="64" width="13.28515625" style="2" bestFit="1" customWidth="1"/>
    <col min="65" max="65" width="5.7109375" style="2" customWidth="1"/>
    <col min="66" max="66" width="17.42578125" style="2" customWidth="1"/>
    <col min="67" max="67" width="5.7109375" style="2" customWidth="1"/>
    <col min="68" max="68" width="17.7109375" style="2" customWidth="1"/>
    <col min="69" max="69" width="15.28515625" style="2" customWidth="1"/>
    <col min="70" max="70" width="5.7109375" style="2" customWidth="1"/>
    <col min="71" max="71" width="13.42578125" style="2" bestFit="1" customWidth="1"/>
    <col min="72" max="72" width="11.42578125" style="2"/>
    <col min="73" max="73" width="5.7109375" style="2" customWidth="1"/>
    <col min="74" max="74" width="6.28515625" style="2" customWidth="1"/>
    <col min="75" max="75" width="5.7109375" style="2" customWidth="1"/>
    <col min="76" max="76" width="25.42578125" style="2" customWidth="1"/>
    <col min="77" max="77" width="8.42578125" style="2" bestFit="1" customWidth="1"/>
    <col min="78" max="78" width="43.140625" style="2" customWidth="1"/>
    <col min="79" max="79" width="12.42578125" style="2" bestFit="1" customWidth="1"/>
    <col min="80" max="80" width="9.28515625" style="2" bestFit="1" customWidth="1"/>
    <col min="81" max="81" width="5.7109375" style="2" customWidth="1"/>
    <col min="82" max="82" width="19.42578125" style="2" bestFit="1" customWidth="1"/>
    <col min="83" max="83" width="11.42578125" style="2"/>
    <col min="84" max="84" width="5.7109375" style="2" customWidth="1"/>
    <col min="85" max="85" width="11.42578125" style="2"/>
    <col min="86" max="87" width="5.7109375" style="2" customWidth="1"/>
    <col min="88" max="88" width="44.42578125" style="2" customWidth="1"/>
    <col min="89" max="89" width="13.7109375" style="2" customWidth="1"/>
    <col min="90" max="90" width="5.7109375" style="2" customWidth="1"/>
    <col min="91" max="91" width="14" style="2" bestFit="1" customWidth="1"/>
    <col min="92" max="92" width="11.42578125" style="2"/>
    <col min="93" max="93" width="5.7109375" style="2" customWidth="1"/>
    <col min="94" max="94" width="21.85546875" style="2" customWidth="1"/>
    <col min="95" max="95" width="74.7109375" style="2" bestFit="1" customWidth="1"/>
    <col min="96" max="96" width="5.7109375" style="2" customWidth="1"/>
    <col min="97" max="97" width="24" style="2" bestFit="1" customWidth="1"/>
    <col min="98" max="98" width="2.28515625" style="2" bestFit="1" customWidth="1"/>
    <col min="99" max="99" width="11.42578125" style="2"/>
    <col min="100" max="100" width="14.42578125" style="2" bestFit="1" customWidth="1"/>
    <col min="101" max="101" width="14.42578125" style="2" customWidth="1"/>
    <col min="102" max="102" width="22.28515625" style="2" customWidth="1"/>
    <col min="103" max="103" width="12.7109375" style="2" customWidth="1"/>
    <col min="104" max="104" width="13.7109375" style="2" customWidth="1"/>
    <col min="105" max="105" width="5.7109375" style="2" customWidth="1"/>
    <col min="106" max="106" width="13.140625" style="2" customWidth="1"/>
    <col min="107" max="107" width="5.7109375" style="2" customWidth="1"/>
    <col min="108" max="108" width="11" style="2" bestFit="1" customWidth="1"/>
    <col min="109" max="109" width="6.42578125" style="2" bestFit="1" customWidth="1"/>
    <col min="110" max="110" width="6.42578125" style="2" customWidth="1"/>
    <col min="111" max="111" width="17.7109375" style="2" bestFit="1" customWidth="1"/>
    <col min="112" max="112" width="11.42578125" style="2"/>
    <col min="113" max="113" width="5.7109375" style="2" customWidth="1"/>
    <col min="114" max="114" width="17.140625" style="2" bestFit="1" customWidth="1"/>
    <col min="115" max="115" width="7.140625" style="2" bestFit="1" customWidth="1"/>
    <col min="116" max="116" width="5.7109375" style="2" customWidth="1"/>
    <col min="117" max="117" width="11.42578125" style="2"/>
    <col min="118" max="118" width="13.42578125" style="2" customWidth="1"/>
    <col min="119" max="119" width="5.7109375" style="2" customWidth="1"/>
    <col min="120" max="121" width="11.42578125" style="2"/>
    <col min="122" max="122" width="21.42578125" style="2" bestFit="1" customWidth="1"/>
    <col min="123" max="125" width="11.42578125" style="2"/>
    <col min="126" max="126" width="18.42578125" style="2" customWidth="1"/>
    <col min="127" max="127" width="4.42578125" style="2" customWidth="1"/>
    <col min="128" max="128" width="18.42578125" style="2" customWidth="1"/>
    <col min="129" max="129" width="11.42578125" style="2"/>
    <col min="130" max="130" width="18.42578125" style="2" customWidth="1"/>
    <col min="131" max="138" width="11.42578125" style="2"/>
    <col min="139" max="139" width="13.28515625" style="32" bestFit="1" customWidth="1"/>
    <col min="140" max="140" width="37.85546875" style="32" bestFit="1" customWidth="1"/>
    <col min="141" max="141" width="39.85546875" style="32" bestFit="1" customWidth="1"/>
    <col min="142" max="142" width="34.28515625" style="32" bestFit="1" customWidth="1"/>
    <col min="143" max="143" width="23.140625" style="32" bestFit="1" customWidth="1"/>
    <col min="144" max="144" width="23.140625" style="32" customWidth="1"/>
    <col min="145" max="145" width="12.7109375" style="2" bestFit="1" customWidth="1"/>
    <col min="146" max="152" width="11.42578125" style="2"/>
    <col min="153" max="153" width="17.7109375" style="2" customWidth="1"/>
    <col min="154" max="156" width="11.42578125" style="2"/>
    <col min="157" max="157" width="15.140625" style="2" bestFit="1" customWidth="1"/>
    <col min="158" max="158" width="17.85546875" style="2" bestFit="1" customWidth="1"/>
    <col min="159" max="159" width="20.140625" style="2" customWidth="1"/>
    <col min="160" max="160" width="15.7109375" style="2" bestFit="1" customWidth="1"/>
    <col min="161" max="161" width="17" style="2" bestFit="1" customWidth="1"/>
    <col min="162" max="162" width="12.28515625" style="2" bestFit="1" customWidth="1"/>
    <col min="163" max="163" width="6.5703125" style="2" bestFit="1" customWidth="1"/>
    <col min="164" max="164" width="18.85546875" style="2" bestFit="1" customWidth="1"/>
    <col min="165" max="165" width="15.140625" style="2" bestFit="1" customWidth="1"/>
    <col min="166" max="166" width="18" style="2" bestFit="1" customWidth="1"/>
    <col min="167" max="167" width="23.85546875" style="2" bestFit="1" customWidth="1"/>
    <col min="168" max="168" width="9" style="2" bestFit="1" customWidth="1"/>
    <col min="169" max="16384" width="11.42578125" style="2"/>
  </cols>
  <sheetData>
    <row r="1" spans="1:174" s="10" customFormat="1" ht="14.25" customHeight="1">
      <c r="A1" s="181" t="s">
        <v>247</v>
      </c>
      <c r="B1" s="181" t="s">
        <v>159</v>
      </c>
      <c r="C1" s="182"/>
      <c r="D1" s="182"/>
      <c r="E1" s="182"/>
      <c r="F1" s="182"/>
      <c r="G1" s="182"/>
      <c r="H1" s="183" t="s">
        <v>21</v>
      </c>
      <c r="I1" s="184"/>
      <c r="J1" s="185"/>
      <c r="K1" s="821" t="s">
        <v>799</v>
      </c>
      <c r="L1" s="821"/>
      <c r="M1" s="821" t="s">
        <v>800</v>
      </c>
      <c r="N1" s="821"/>
      <c r="O1" s="181"/>
      <c r="P1" s="181"/>
      <c r="Q1" s="181"/>
      <c r="R1" s="181"/>
      <c r="S1" s="181"/>
      <c r="T1" s="181" t="s">
        <v>207</v>
      </c>
      <c r="U1" s="181"/>
      <c r="V1" s="181"/>
      <c r="W1" s="181"/>
      <c r="X1" s="181" t="s">
        <v>86</v>
      </c>
      <c r="Y1" s="181"/>
      <c r="Z1" s="181"/>
      <c r="AA1" s="181" t="s">
        <v>16</v>
      </c>
      <c r="AB1" s="181"/>
      <c r="AC1" s="181"/>
      <c r="AD1" s="181"/>
      <c r="AE1" s="181"/>
      <c r="AF1" s="181"/>
      <c r="AG1" s="181" t="s">
        <v>38</v>
      </c>
      <c r="AH1" s="186"/>
      <c r="AI1" s="181" t="s">
        <v>246</v>
      </c>
      <c r="AJ1" s="181"/>
      <c r="AK1" s="187" t="s">
        <v>22</v>
      </c>
      <c r="AL1" s="181"/>
      <c r="AM1" s="181"/>
      <c r="AN1" s="181"/>
      <c r="AO1" s="181"/>
      <c r="AP1" s="181"/>
      <c r="AQ1" s="181" t="s">
        <v>140</v>
      </c>
      <c r="AR1" s="181"/>
      <c r="AS1" s="181"/>
      <c r="AT1" s="181" t="s">
        <v>233</v>
      </c>
      <c r="AU1" s="181"/>
      <c r="AV1" s="181"/>
      <c r="AW1" s="289" t="s">
        <v>388</v>
      </c>
      <c r="AX1" s="181"/>
      <c r="AY1" s="181"/>
      <c r="AZ1" s="181"/>
      <c r="BA1" s="289" t="s">
        <v>58</v>
      </c>
      <c r="BB1" s="181"/>
      <c r="BC1" s="181"/>
      <c r="BD1" s="181"/>
      <c r="BE1" s="181" t="s">
        <v>35</v>
      </c>
      <c r="BF1" s="181"/>
      <c r="BG1" s="181"/>
      <c r="BH1" s="181"/>
      <c r="BI1" s="181"/>
      <c r="BJ1" s="181"/>
      <c r="BK1" s="181" t="s">
        <v>160</v>
      </c>
      <c r="BL1" s="181"/>
      <c r="BM1" s="181"/>
      <c r="BN1" s="181" t="s">
        <v>173</v>
      </c>
      <c r="BO1" s="181"/>
      <c r="BP1" s="181" t="s">
        <v>181</v>
      </c>
      <c r="BQ1" s="181"/>
      <c r="BR1" s="181"/>
      <c r="BS1" s="181" t="s">
        <v>260</v>
      </c>
      <c r="BT1" s="181"/>
      <c r="BU1" s="181"/>
      <c r="BV1" s="181"/>
      <c r="BW1" s="181"/>
      <c r="BX1" s="181" t="s">
        <v>183</v>
      </c>
      <c r="BY1" s="181"/>
      <c r="BZ1" s="181"/>
      <c r="CA1" s="181"/>
      <c r="CB1" s="181"/>
      <c r="CC1" s="181"/>
      <c r="CD1" s="181" t="s">
        <v>184</v>
      </c>
      <c r="CE1" s="181"/>
      <c r="CF1" s="181"/>
      <c r="CG1" s="181" t="s">
        <v>187</v>
      </c>
      <c r="CH1" s="181"/>
      <c r="CI1" s="181"/>
      <c r="CJ1" s="181" t="s">
        <v>144</v>
      </c>
      <c r="CK1" s="181"/>
      <c r="CL1" s="181"/>
      <c r="CM1" s="181" t="s">
        <v>52</v>
      </c>
      <c r="CN1" s="181"/>
      <c r="CO1" s="181"/>
      <c r="CP1" s="181" t="s">
        <v>191</v>
      </c>
      <c r="CQ1" s="181"/>
      <c r="CR1" s="181"/>
      <c r="CS1" s="181" t="s">
        <v>195</v>
      </c>
      <c r="CT1" s="181"/>
      <c r="CU1" s="186"/>
      <c r="CV1" s="181" t="s">
        <v>270</v>
      </c>
      <c r="CW1" s="181"/>
      <c r="CX1" s="181"/>
      <c r="CY1" s="181" t="s">
        <v>273</v>
      </c>
      <c r="CZ1" s="181"/>
      <c r="DA1" s="181"/>
      <c r="DB1" s="181"/>
      <c r="DC1" s="181"/>
      <c r="DD1" s="181" t="s">
        <v>150</v>
      </c>
      <c r="DE1" s="181"/>
      <c r="DF1" s="181"/>
      <c r="DG1" s="181"/>
      <c r="DH1" s="181"/>
      <c r="DI1" s="181"/>
      <c r="DJ1" s="181"/>
      <c r="DK1" s="181"/>
      <c r="DL1" s="181"/>
      <c r="DM1" s="181"/>
      <c r="DN1" s="188"/>
      <c r="DO1" s="188"/>
      <c r="DP1" s="186"/>
      <c r="DQ1" s="186"/>
      <c r="DR1" s="224" t="s">
        <v>220</v>
      </c>
      <c r="DS1" s="225"/>
      <c r="DT1" s="225"/>
      <c r="DU1" s="181"/>
      <c r="DV1" s="181"/>
      <c r="DW1" s="181"/>
      <c r="DX1" s="181"/>
      <c r="DY1" s="181"/>
      <c r="DZ1" s="181"/>
      <c r="EA1" s="189"/>
      <c r="EB1" s="189"/>
      <c r="EC1" s="189"/>
      <c r="ED1" s="181"/>
      <c r="EE1" s="181"/>
      <c r="EF1" s="181"/>
      <c r="EG1" s="181"/>
      <c r="EH1" s="181"/>
      <c r="EI1" s="30"/>
      <c r="EJ1" s="30"/>
      <c r="EK1" s="30"/>
      <c r="EL1" s="30"/>
      <c r="EM1" s="30"/>
      <c r="EN1" s="30"/>
      <c r="EO1" s="181"/>
      <c r="EP1" s="181"/>
      <c r="EQ1" s="181"/>
      <c r="ER1" s="181"/>
      <c r="ES1" s="181"/>
      <c r="ET1" s="181"/>
      <c r="EU1" s="181"/>
      <c r="EV1" s="181"/>
      <c r="EW1" s="181"/>
      <c r="EX1" s="181"/>
      <c r="EY1" s="181"/>
      <c r="EZ1" s="181"/>
      <c r="FA1" s="181" t="s">
        <v>1021</v>
      </c>
      <c r="FB1" s="182"/>
      <c r="FC1" s="182"/>
      <c r="FD1" s="182"/>
      <c r="FE1" s="182"/>
      <c r="FF1" s="182"/>
      <c r="FG1" s="182"/>
      <c r="FH1" s="182"/>
      <c r="FI1" s="182"/>
      <c r="FJ1" s="182"/>
      <c r="FK1" s="181"/>
      <c r="FL1" s="181"/>
      <c r="FM1" s="181"/>
      <c r="FN1" s="181"/>
      <c r="FO1" s="181"/>
      <c r="FP1" s="181"/>
    </row>
    <row r="2" spans="1:174" s="9" customFormat="1" ht="14.25" customHeight="1">
      <c r="A2" s="9" t="s">
        <v>248</v>
      </c>
      <c r="B2" s="9" t="s">
        <v>159</v>
      </c>
      <c r="C2" s="13"/>
      <c r="D2" s="13"/>
      <c r="E2" s="13"/>
      <c r="F2" s="13"/>
      <c r="G2" s="13"/>
      <c r="H2" s="136" t="s">
        <v>249</v>
      </c>
      <c r="I2" s="137"/>
      <c r="J2" s="138"/>
      <c r="K2" s="139" t="s">
        <v>147</v>
      </c>
      <c r="L2" s="139" t="s">
        <v>634</v>
      </c>
      <c r="M2" s="139" t="s">
        <v>147</v>
      </c>
      <c r="N2" s="139" t="s">
        <v>634</v>
      </c>
      <c r="T2" s="9" t="s">
        <v>307</v>
      </c>
      <c r="U2" s="3" t="s">
        <v>633</v>
      </c>
      <c r="X2" s="9" t="s">
        <v>250</v>
      </c>
      <c r="AA2" s="9" t="s">
        <v>251</v>
      </c>
      <c r="AD2" s="9" t="s">
        <v>311</v>
      </c>
      <c r="AG2" s="9" t="s">
        <v>252</v>
      </c>
      <c r="AH2" s="15"/>
      <c r="AI2" s="9" t="s">
        <v>253</v>
      </c>
      <c r="AK2" s="14" t="s">
        <v>268</v>
      </c>
      <c r="AL2" s="14"/>
      <c r="AM2" s="14" t="s">
        <v>269</v>
      </c>
      <c r="AO2" s="284" t="s">
        <v>351</v>
      </c>
      <c r="AQ2" s="9" t="s">
        <v>255</v>
      </c>
      <c r="AT2" s="9" t="s">
        <v>254</v>
      </c>
      <c r="AW2" s="9" t="s">
        <v>1099</v>
      </c>
      <c r="BA2" s="9" t="s">
        <v>256</v>
      </c>
      <c r="BE2" s="9" t="s">
        <v>257</v>
      </c>
      <c r="BI2" s="17"/>
      <c r="BK2" s="9" t="s">
        <v>258</v>
      </c>
      <c r="BN2" s="9" t="s">
        <v>259</v>
      </c>
      <c r="BP2" s="9" t="s">
        <v>261</v>
      </c>
      <c r="BS2" s="9" t="s">
        <v>174</v>
      </c>
      <c r="BV2" s="9" t="s">
        <v>305</v>
      </c>
      <c r="BX2" s="9" t="str">
        <f>IF(langchoose="Русский","exproof_russ","exproof")</f>
        <v>exproof</v>
      </c>
      <c r="CD2" s="9" t="s">
        <v>262</v>
      </c>
      <c r="CG2" s="9" t="s">
        <v>263</v>
      </c>
      <c r="CJ2" s="9" t="s">
        <v>264</v>
      </c>
      <c r="CK2" s="78" t="e">
        <f ca="1">VLOOKUP(calibratopn,Data!CJ3:CK8,3,FALSE)</f>
        <v>#REF!</v>
      </c>
      <c r="CM2" s="9" t="s">
        <v>265</v>
      </c>
      <c r="CP2" s="9" t="s">
        <v>266</v>
      </c>
      <c r="CS2" s="9" t="s">
        <v>267</v>
      </c>
      <c r="CU2" s="15"/>
      <c r="CV2" s="9" t="s">
        <v>271</v>
      </c>
      <c r="CY2" s="9" t="s">
        <v>272</v>
      </c>
      <c r="DB2" s="9" t="s">
        <v>274</v>
      </c>
      <c r="DD2" s="9" t="s">
        <v>275</v>
      </c>
      <c r="DG2" s="9" t="s">
        <v>276</v>
      </c>
      <c r="DJ2" s="9" t="s">
        <v>277</v>
      </c>
      <c r="DM2" s="9" t="s">
        <v>278</v>
      </c>
      <c r="DO2" s="1"/>
      <c r="DP2" s="15"/>
      <c r="DQ2" s="15"/>
      <c r="DR2" s="226"/>
      <c r="DS2" s="226" t="s">
        <v>282</v>
      </c>
      <c r="DT2" s="226" t="s">
        <v>112</v>
      </c>
      <c r="DV2" s="181" t="s">
        <v>362</v>
      </c>
      <c r="DX2" s="181" t="s">
        <v>223</v>
      </c>
      <c r="DY2" s="9" t="s">
        <v>378</v>
      </c>
      <c r="DZ2" s="181"/>
      <c r="EA2" s="3" t="s">
        <v>382</v>
      </c>
      <c r="EI2" s="21" t="s">
        <v>418</v>
      </c>
      <c r="EJ2" s="25"/>
      <c r="EK2" s="25"/>
      <c r="EL2" s="25"/>
      <c r="EM2" s="25"/>
      <c r="EN2" s="25"/>
      <c r="EO2" s="22"/>
      <c r="EP2" s="226" t="s">
        <v>223</v>
      </c>
      <c r="EV2" s="274"/>
      <c r="EW2" s="9" t="s">
        <v>498</v>
      </c>
      <c r="FA2" s="9" t="s">
        <v>1038</v>
      </c>
      <c r="FB2" s="13" t="s">
        <v>1039</v>
      </c>
      <c r="FC2" s="13"/>
      <c r="FD2" s="13"/>
      <c r="FE2" s="13"/>
      <c r="FF2" s="13"/>
      <c r="FG2" s="13"/>
      <c r="FH2" s="13"/>
      <c r="FI2" s="13"/>
      <c r="FJ2" s="13"/>
    </row>
    <row r="3" spans="1:174" ht="14.25" customHeight="1">
      <c r="A3" s="1"/>
      <c r="B3" s="1" t="str">
        <f ca="1">language!A8</f>
        <v>Да</v>
      </c>
      <c r="C3" s="190">
        <v>1</v>
      </c>
      <c r="D3" s="190" t="s">
        <v>229</v>
      </c>
      <c r="E3" s="190" t="s">
        <v>135</v>
      </c>
      <c r="F3" s="190" t="b">
        <v>1</v>
      </c>
      <c r="G3" s="190"/>
      <c r="H3" s="191" t="s">
        <v>1245</v>
      </c>
      <c r="I3" s="192" t="s">
        <v>982</v>
      </c>
      <c r="J3" s="193">
        <v>50</v>
      </c>
      <c r="K3" s="194">
        <v>4</v>
      </c>
      <c r="L3" s="194">
        <v>400</v>
      </c>
      <c r="M3" s="194">
        <v>140</v>
      </c>
      <c r="N3" s="194">
        <v>14000</v>
      </c>
      <c r="O3" s="1"/>
      <c r="P3" s="1"/>
      <c r="Q3" s="1"/>
      <c r="R3" s="1"/>
      <c r="S3" s="1"/>
      <c r="T3" s="195">
        <v>2</v>
      </c>
      <c r="U3" s="195">
        <v>2</v>
      </c>
      <c r="V3" s="1">
        <v>1</v>
      </c>
      <c r="W3" s="1"/>
      <c r="X3" s="1" t="str">
        <f ca="1">language!A77</f>
        <v>Воздух</v>
      </c>
      <c r="Y3" s="1"/>
      <c r="Z3" s="1"/>
      <c r="AA3" s="1" t="str">
        <f ca="1">language!A93</f>
        <v>Нет</v>
      </c>
      <c r="AB3" s="1" t="s">
        <v>47</v>
      </c>
      <c r="AC3" s="1"/>
      <c r="AD3" s="1" t="str">
        <f ca="1">language!A96</f>
        <v>Абразивный</v>
      </c>
      <c r="AE3" s="1" t="s">
        <v>108</v>
      </c>
      <c r="AF3" s="1"/>
      <c r="AG3" s="1" t="str">
        <f ca="1">language!A100</f>
        <v>Метан (CH4)</v>
      </c>
      <c r="AH3" s="45"/>
      <c r="AI3" s="5" t="s">
        <v>310</v>
      </c>
      <c r="AJ3" s="5"/>
      <c r="AK3" s="72" t="s">
        <v>75</v>
      </c>
      <c r="AL3" s="5"/>
      <c r="AM3" s="72" t="s">
        <v>1052</v>
      </c>
      <c r="AN3" s="72"/>
      <c r="AO3" s="72" t="s">
        <v>450</v>
      </c>
      <c r="AP3" s="1"/>
      <c r="AQ3" s="1" t="s">
        <v>228</v>
      </c>
      <c r="AR3" s="1" t="s">
        <v>228</v>
      </c>
      <c r="AS3" s="1"/>
      <c r="AT3" s="1" t="s">
        <v>352</v>
      </c>
      <c r="AU3" s="1" t="s">
        <v>234</v>
      </c>
      <c r="AV3" s="1"/>
      <c r="AW3" s="285" t="str">
        <f ca="1">Flanschnorm1</f>
        <v>Другой</v>
      </c>
      <c r="AX3" s="1"/>
      <c r="AY3" s="1"/>
      <c r="AZ3" s="1"/>
      <c r="BA3" s="281" t="str">
        <f ca="1">IF(OR(LEFT(AW4,4)="GOST",LEFT(AW4,4)="ГОСТ"),BA16,language!A215)</f>
        <v>полировка</v>
      </c>
      <c r="BB3" s="1" t="s">
        <v>164</v>
      </c>
      <c r="BC3" s="1" t="s">
        <v>169</v>
      </c>
      <c r="BD3" s="1"/>
      <c r="BE3" s="1"/>
      <c r="BF3" s="1" t="s">
        <v>155</v>
      </c>
      <c r="BG3" s="1">
        <v>0</v>
      </c>
      <c r="BH3" s="1" t="s">
        <v>285</v>
      </c>
      <c r="BI3" s="18" t="s">
        <v>295</v>
      </c>
      <c r="BJ3" s="1"/>
      <c r="BK3" s="1" t="str">
        <f ca="1">language!A225</f>
        <v>Алюминий</v>
      </c>
      <c r="BL3" s="1" t="s">
        <v>161</v>
      </c>
      <c r="BM3" s="1"/>
      <c r="BN3" s="1" t="s">
        <v>163</v>
      </c>
      <c r="BO3" s="1"/>
      <c r="BP3" s="1" t="str">
        <f ca="1">language!A237</f>
        <v>Стандарт</v>
      </c>
      <c r="BQ3" s="1" t="s">
        <v>182</v>
      </c>
      <c r="BR3" s="1"/>
      <c r="BS3" s="1" t="s">
        <v>175</v>
      </c>
      <c r="BT3" s="1" t="s">
        <v>175</v>
      </c>
      <c r="BU3" s="1"/>
      <c r="BV3" s="1" t="s">
        <v>302</v>
      </c>
      <c r="BW3" s="1"/>
      <c r="BX3" s="196" t="str">
        <f ca="1">language!A159</f>
        <v>Исполнение без Ex защиты</v>
      </c>
      <c r="BY3" s="1"/>
      <c r="BZ3" s="1"/>
      <c r="CA3" s="1"/>
      <c r="CB3" s="1"/>
      <c r="CC3" s="1"/>
      <c r="CD3" s="1" t="str">
        <f ca="1">language!A247</f>
        <v>Метрические</v>
      </c>
      <c r="CE3" s="1" t="s">
        <v>185</v>
      </c>
      <c r="CF3" s="1"/>
      <c r="CG3" s="1" t="s">
        <v>189</v>
      </c>
      <c r="CH3" s="1">
        <v>0</v>
      </c>
      <c r="CI3" s="1"/>
      <c r="CJ3" s="196" t="str">
        <f ca="1">language!A250</f>
        <v>Сухая калибровка (+/- 0,5% - 4 луча; +/-1% - 2 луча)</v>
      </c>
      <c r="CK3" s="1" t="s">
        <v>132</v>
      </c>
      <c r="CL3" s="1"/>
      <c r="CM3" s="1" t="str">
        <f ca="1">language!A77</f>
        <v>Воздух</v>
      </c>
      <c r="CN3" s="1" t="s">
        <v>44</v>
      </c>
      <c r="CO3" s="1"/>
      <c r="CP3" s="197" t="s">
        <v>193</v>
      </c>
      <c r="CQ3" s="1" t="str">
        <f ca="1">language!A230</f>
        <v>5%, 10%, 25%, 40%, 70%, 100%</v>
      </c>
      <c r="CR3" s="1" t="s">
        <v>132</v>
      </c>
      <c r="CS3" s="5" t="str">
        <f ca="1">language!A262</f>
        <v>Нет</v>
      </c>
      <c r="CT3" s="1" t="s">
        <v>129</v>
      </c>
      <c r="CU3" s="45"/>
      <c r="CV3" s="279">
        <f>'Page3|Страница 3'!$P$8</f>
        <v>1</v>
      </c>
      <c r="CW3" s="279"/>
      <c r="CX3" s="280" t="str">
        <f>VLOOKUP($CV$3,$CV$5:$CX$14,2,FALSE)</f>
        <v>№1 
- 2x импульсных/цифровых выхода
- 1x аналоговый вход 4-20мА + HART v7 Master (подключение датчиков давления, температуры)
- 1x цифровой выход RS-485 Slave, Modbus RTU и Modbus ASCII</v>
      </c>
      <c r="CY3" s="1" t="str">
        <f ca="1">language!A318</f>
        <v>Предупреждение</v>
      </c>
      <c r="CZ3" s="1" t="s">
        <v>124</v>
      </c>
      <c r="DA3" s="1"/>
      <c r="DB3" s="1" t="s">
        <v>127</v>
      </c>
      <c r="DC3" s="1"/>
      <c r="DD3" s="1" t="str">
        <f ca="1">language!A334</f>
        <v>нормально открытый</v>
      </c>
      <c r="DE3" s="1" t="s">
        <v>128</v>
      </c>
      <c r="DF3" s="1"/>
      <c r="DG3" s="1" t="str">
        <f ca="1">language!A337</f>
        <v>аналоговый</v>
      </c>
      <c r="DH3" s="1" t="s">
        <v>201</v>
      </c>
      <c r="DI3" s="1"/>
      <c r="DJ3" s="1" t="str">
        <f ca="1">language!A328</f>
        <v>NAMUR</v>
      </c>
      <c r="DK3" s="1" t="s">
        <v>126</v>
      </c>
      <c r="DL3" s="1"/>
      <c r="DM3" s="198" t="str">
        <f ca="1">language!A331</f>
        <v>активный</v>
      </c>
      <c r="DN3" s="1" t="s">
        <v>203</v>
      </c>
      <c r="DO3" s="1"/>
      <c r="DP3" s="45"/>
      <c r="DQ3" s="45"/>
      <c r="DR3" s="227" t="str">
        <f>language!B42</f>
        <v>Liquid content</v>
      </c>
      <c r="DS3" s="209" t="str">
        <f>unittrans!A3</f>
        <v>g/Nm³</v>
      </c>
      <c r="DT3" s="209" t="str">
        <f t="shared" ref="DT3:DT27" si="0">IF(ISERROR(Formelunit),"",IF(OR(Formelunit=0),"",Formelunit))</f>
        <v/>
      </c>
      <c r="DU3" s="1"/>
      <c r="DV3" s="1" t="str">
        <f ca="1">language!A47</f>
        <v>да - внизу по потоку</v>
      </c>
      <c r="DW3" s="1"/>
      <c r="DX3" s="1" t="str">
        <f ca="1">language!A322</f>
        <v>Стандарт</v>
      </c>
      <c r="DY3" s="1" t="str">
        <f ca="1">language!A29</f>
        <v>№ Опр. листа</v>
      </c>
      <c r="DZ3" s="1"/>
      <c r="EA3" s="199">
        <f>'Page1|Страница 1'!K36</f>
        <v>0</v>
      </c>
      <c r="EB3" s="198" t="str">
        <f>IF(ISERROR(VLOOKUP(EA3,EA4:EG23,2,FALSE)),"",VLOOKUP(EA3,EA4:EG23,2,FALSE))</f>
        <v/>
      </c>
      <c r="EC3" s="198" t="str">
        <f>IF(ISERROR(VLOOKUP(EA3,EA4:EG23,3,FALSE)),"",VLOOKUP(EA3,EA4:EG23,3,FALSE))</f>
        <v/>
      </c>
      <c r="ED3" s="198" t="str">
        <f>IF(ISERROR(VLOOKUP(EA3,EA4:EG23,4,FALSE)),"",VLOOKUP(EA3,EA4:EG23,4,FALSE))</f>
        <v/>
      </c>
      <c r="EE3" s="198" t="str">
        <f>IF(ISERROR(VLOOKUP(EA3,EA4:EG23,5,FALSE)),"",VLOOKUP(EA3,EA4:EG23,5,FALSE))</f>
        <v/>
      </c>
      <c r="EF3" s="198" t="str">
        <f>IF(ISERROR(VLOOKUP(EA3,EA4:EG23,6,FALSE)),"",VLOOKUP(EA3,EA4:EG23,6,FALSE))</f>
        <v/>
      </c>
      <c r="EG3" s="198" t="str">
        <f>IF(ISERROR(VLOOKUP(EA3,EA4:EG23,7,FALSE)),"",VLOOKUP(EA3,EA4:EG23,7,FALSE))</f>
        <v/>
      </c>
      <c r="EH3" s="198"/>
      <c r="EI3" s="27" t="s">
        <v>419</v>
      </c>
      <c r="EJ3"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3" s="31"/>
      <c r="EL3" s="31"/>
      <c r="EM3" s="31"/>
      <c r="EN3"/>
      <c r="EO3" s="22"/>
      <c r="EP3" s="1"/>
      <c r="EQ3" s="43" t="s">
        <v>467</v>
      </c>
      <c r="ER3" s="43" t="s">
        <v>382</v>
      </c>
      <c r="ES3" s="1"/>
      <c r="ET3" s="48" t="s">
        <v>468</v>
      </c>
      <c r="EU3" s="49" t="s">
        <v>470</v>
      </c>
      <c r="EV3" s="72"/>
      <c r="EW3" s="1"/>
      <c r="EX3" s="1"/>
      <c r="EY3" s="1"/>
      <c r="EZ3" s="1"/>
      <c r="FA3" s="3" t="s">
        <v>1022</v>
      </c>
      <c r="FB3" s="232" t="s">
        <v>217</v>
      </c>
      <c r="FC3" s="232" t="s">
        <v>1037</v>
      </c>
      <c r="FD3" s="232" t="s">
        <v>1035</v>
      </c>
      <c r="FE3" s="232" t="s">
        <v>1036</v>
      </c>
      <c r="FF3" s="233" t="s">
        <v>723</v>
      </c>
      <c r="FG3" s="232" t="s">
        <v>722</v>
      </c>
      <c r="FH3" s="232" t="s">
        <v>218</v>
      </c>
      <c r="FI3" s="232" t="s">
        <v>1034</v>
      </c>
      <c r="FJ3" s="232" t="s">
        <v>134</v>
      </c>
      <c r="FK3" s="232" t="s">
        <v>668</v>
      </c>
      <c r="FL3" s="232" t="s">
        <v>359</v>
      </c>
      <c r="FM3" s="232" t="s">
        <v>1041</v>
      </c>
      <c r="FN3" s="3"/>
      <c r="FO3" s="3"/>
      <c r="FP3" s="3"/>
      <c r="FQ3" s="3"/>
      <c r="FR3" s="3"/>
    </row>
    <row r="4" spans="1:174" ht="14.25" customHeight="1">
      <c r="A4" s="1"/>
      <c r="B4" s="1" t="str">
        <f ca="1">language!A9</f>
        <v>Нет</v>
      </c>
      <c r="C4" s="190">
        <v>0</v>
      </c>
      <c r="D4" s="190" t="s">
        <v>129</v>
      </c>
      <c r="E4" s="190" t="s">
        <v>111</v>
      </c>
      <c r="F4" s="190" t="b">
        <v>0</v>
      </c>
      <c r="G4" s="200"/>
      <c r="H4" s="192" t="s">
        <v>1246</v>
      </c>
      <c r="I4" s="192" t="s">
        <v>91</v>
      </c>
      <c r="J4" s="193">
        <v>80</v>
      </c>
      <c r="K4" s="180">
        <v>8</v>
      </c>
      <c r="L4" s="180">
        <v>1000</v>
      </c>
      <c r="M4" s="180">
        <v>280</v>
      </c>
      <c r="N4" s="180">
        <v>35000</v>
      </c>
      <c r="O4" s="1"/>
      <c r="P4" s="1"/>
      <c r="Q4" s="1"/>
      <c r="R4" s="1"/>
      <c r="S4" s="1"/>
      <c r="T4" s="195"/>
      <c r="U4" s="195">
        <v>4</v>
      </c>
      <c r="V4" s="1">
        <v>2</v>
      </c>
      <c r="W4" s="1"/>
      <c r="X4" s="1" t="str">
        <f ca="1">language!A89</f>
        <v>ПНГ (сухой)</v>
      </c>
      <c r="Y4" s="1"/>
      <c r="Z4" s="1"/>
      <c r="AA4" s="1" t="str">
        <f ca="1">language!A94</f>
        <v>да</v>
      </c>
      <c r="AB4" s="1" t="s">
        <v>48</v>
      </c>
      <c r="AC4" s="1"/>
      <c r="AD4" s="1" t="str">
        <f ca="1">language!A97</f>
        <v>Коррозионный</v>
      </c>
      <c r="AE4" s="1" t="s">
        <v>109</v>
      </c>
      <c r="AF4" s="1"/>
      <c r="AG4" s="1" t="str">
        <f ca="1">language!A101</f>
        <v>Азот (N2)</v>
      </c>
      <c r="AH4" s="45"/>
      <c r="AI4" s="1" t="s">
        <v>355</v>
      </c>
      <c r="AJ4" s="5"/>
      <c r="AK4" s="72" t="s">
        <v>76</v>
      </c>
      <c r="AL4" s="5"/>
      <c r="AM4" s="72" t="s">
        <v>1053</v>
      </c>
      <c r="AN4" s="72"/>
      <c r="AO4" s="72" t="s">
        <v>455</v>
      </c>
      <c r="AP4" s="1"/>
      <c r="AQ4" s="1" t="s">
        <v>141</v>
      </c>
      <c r="AR4" s="1" t="s">
        <v>141</v>
      </c>
      <c r="AS4" s="1"/>
      <c r="AT4" s="1" t="s">
        <v>87</v>
      </c>
      <c r="AU4" s="1" t="s">
        <v>235</v>
      </c>
      <c r="AV4" s="1"/>
      <c r="AW4" s="286" t="str">
        <f ca="1">IF(LEFT('Page2|Страница 2'!$M$16,4)="ANSI",AW16,IF(OR(LEFT('Page2|Страница 2'!$M$16,4)="GOST",LEFT('Page2|Страница 2'!$M$16,4)="ГОСТ"),AW31,AW19))</f>
        <v>форма С (DIN 2526)</v>
      </c>
      <c r="AX4" s="1"/>
      <c r="AY4" s="1"/>
      <c r="AZ4" s="1"/>
      <c r="BA4" s="281" t="str">
        <f ca="1">IF(OR(LEFT(AW4,4)="GOST",LEFT(AW4,4)="ГОСТ"),BA17,language!A214&amp;" Ra 0,8")</f>
        <v>шлифование Ra 0,8</v>
      </c>
      <c r="BB4" s="1" t="s">
        <v>166</v>
      </c>
      <c r="BC4" s="1" t="s">
        <v>170</v>
      </c>
      <c r="BD4" s="1"/>
      <c r="BE4" s="1" t="str">
        <f ca="1">language!A220</f>
        <v>Низ.темп. угл. сталь (-46/+280°С)</v>
      </c>
      <c r="BF4" s="1" t="s">
        <v>156</v>
      </c>
      <c r="BG4" s="1">
        <v>1</v>
      </c>
      <c r="BH4" s="1" t="s">
        <v>130</v>
      </c>
      <c r="BI4" s="18" t="s">
        <v>296</v>
      </c>
      <c r="BJ4" s="1"/>
      <c r="BK4" s="1" t="str">
        <f ca="1">language!A226</f>
        <v>Нержавеющая сталь</v>
      </c>
      <c r="BL4" s="1" t="s">
        <v>162</v>
      </c>
      <c r="BM4" s="1"/>
      <c r="BN4" s="1"/>
      <c r="BO4" s="1"/>
      <c r="BP4" s="1" t="s">
        <v>1232</v>
      </c>
      <c r="BQ4" s="1" t="s">
        <v>7</v>
      </c>
      <c r="BR4" s="1"/>
      <c r="BS4" s="1" t="s">
        <v>176</v>
      </c>
      <c r="BT4" s="1" t="s">
        <v>176</v>
      </c>
      <c r="BU4" s="1"/>
      <c r="BV4" s="1" t="s">
        <v>306</v>
      </c>
      <c r="BW4" s="72"/>
      <c r="BX4" s="196" t="s">
        <v>1317</v>
      </c>
      <c r="BY4" s="1">
        <v>1</v>
      </c>
      <c r="BZ4" s="1" t="s">
        <v>288</v>
      </c>
      <c r="CA4" s="1" t="s">
        <v>6</v>
      </c>
      <c r="CB4" s="1" t="s">
        <v>292</v>
      </c>
      <c r="CC4" s="1"/>
      <c r="CD4" s="1" t="str">
        <f ca="1">language!A248</f>
        <v>Английские</v>
      </c>
      <c r="CE4" s="1" t="s">
        <v>186</v>
      </c>
      <c r="CF4" s="1"/>
      <c r="CG4" s="1" t="s">
        <v>188</v>
      </c>
      <c r="CH4" s="1">
        <v>1</v>
      </c>
      <c r="CI4" s="1"/>
      <c r="CJ4" s="196" t="str">
        <f ca="1">language!A251</f>
        <v>Проливка воздухом 1 атм. (+/-0,5%; 4 луча)</v>
      </c>
      <c r="CK4" s="1"/>
      <c r="CL4" s="1"/>
      <c r="CM4" s="1" t="str">
        <f ca="1">language!A257</f>
        <v>Воздух</v>
      </c>
      <c r="CN4" s="1" t="s">
        <v>190</v>
      </c>
      <c r="CO4" s="1"/>
      <c r="CP4" s="197" t="s">
        <v>194</v>
      </c>
      <c r="CQ4" s="1" t="str">
        <f ca="1">language!A231</f>
        <v>3%, 5%, 10%, 25%, 40%, 70%, 100%</v>
      </c>
      <c r="CR4" s="1" t="s">
        <v>132</v>
      </c>
      <c r="CS4" s="5" t="str">
        <f ca="1">language!A263</f>
        <v>-</v>
      </c>
      <c r="CT4" s="1" t="s">
        <v>229</v>
      </c>
      <c r="CU4" s="45"/>
      <c r="CY4" s="1" t="str">
        <f ca="1">language!A319</f>
        <v>Сбой</v>
      </c>
      <c r="CZ4" s="1" t="s">
        <v>125</v>
      </c>
      <c r="DA4" s="1"/>
      <c r="DB4" s="1"/>
      <c r="DC4" s="1"/>
      <c r="DD4" s="1" t="str">
        <f ca="1">language!A335</f>
        <v>нормально закрытый</v>
      </c>
      <c r="DE4" s="1" t="s">
        <v>200</v>
      </c>
      <c r="DF4" s="1"/>
      <c r="DG4" s="1"/>
      <c r="DH4" s="1"/>
      <c r="DI4" s="1"/>
      <c r="DJ4" s="1" t="str">
        <f ca="1">language!A329</f>
        <v>Открытый коллектор</v>
      </c>
      <c r="DK4" s="1" t="s">
        <v>202</v>
      </c>
      <c r="DL4" s="1"/>
      <c r="DM4" s="198" t="str">
        <f ca="1">language!A332</f>
        <v>пассивный</v>
      </c>
      <c r="DN4" s="1" t="s">
        <v>204</v>
      </c>
      <c r="DO4" s="1"/>
      <c r="DP4" s="45"/>
      <c r="DQ4" s="45"/>
      <c r="DR4" s="209" t="str">
        <f>language!B43</f>
        <v>Gas compostion</v>
      </c>
      <c r="DS4" s="209" t="str">
        <f>unittrans!A4</f>
        <v>vol %</v>
      </c>
      <c r="DT4" s="209" t="str">
        <f t="shared" si="0"/>
        <v/>
      </c>
      <c r="DU4" s="1"/>
      <c r="DV4" s="1" t="str">
        <f ca="1">language!A48</f>
        <v>да - вверху против потока</v>
      </c>
      <c r="DW4" s="1"/>
      <c r="DX4" s="1" t="str">
        <f ca="1">language!A323</f>
        <v>Другое</v>
      </c>
      <c r="DY4" s="1" t="str">
        <f ca="1">language!A30</f>
        <v>№. проекта</v>
      </c>
      <c r="DZ4" s="1"/>
      <c r="EA4" s="19" t="s">
        <v>1246</v>
      </c>
      <c r="EB4" s="72" t="s">
        <v>956</v>
      </c>
      <c r="EC4" s="20" t="s">
        <v>400</v>
      </c>
      <c r="ED4" s="20" t="s">
        <v>401</v>
      </c>
      <c r="EE4" s="20" t="s">
        <v>650</v>
      </c>
      <c r="EF4" s="20" t="s">
        <v>132</v>
      </c>
      <c r="EG4" s="20" t="s">
        <v>132</v>
      </c>
      <c r="EH4" s="20"/>
      <c r="EI4" s="23" t="s">
        <v>420</v>
      </c>
      <c r="EJ4" s="24" t="e">
        <f>VLOOKUP($EJ$3,$EI5:$EM14,2,FALSE)</f>
        <v>#N/A</v>
      </c>
      <c r="EK4" s="24" t="e">
        <f>VLOOKUP($EJ$3,$EI5:$EM14,3,FALSE)</f>
        <v>#N/A</v>
      </c>
      <c r="EL4" s="24" t="e">
        <f>VLOOKUP($EJ$3,$EI5:$EM14,4,FALSE)</f>
        <v>#N/A</v>
      </c>
      <c r="EM4" s="24" t="e">
        <f>VLOOKUP($EJ$3,$EI5:$EM14,5,FALSE)</f>
        <v>#N/A</v>
      </c>
      <c r="EN4"/>
      <c r="EO4" s="26"/>
      <c r="EP4" s="37" t="s">
        <v>419</v>
      </c>
      <c r="EQ4" s="201">
        <f>'Page1|Страница 1'!$K$36</f>
        <v>0</v>
      </c>
      <c r="ER4" s="201">
        <f>'Page1|Страница 1'!AI36</f>
        <v>0</v>
      </c>
      <c r="ES4" s="44" t="str">
        <f>CONCATENATE(LEFT(EQ4,2),ER4)</f>
        <v>00</v>
      </c>
      <c r="ET4" s="47" t="str">
        <f>IF(ISERROR(ES5),IF(ISERROR(EU5),"x",EU5),ES5)</f>
        <v>x</v>
      </c>
      <c r="EU4" s="49" t="str">
        <f>IF(ET4="x","x",ROUND(ET4/35.31467,0))</f>
        <v>x</v>
      </c>
      <c r="EV4" s="72"/>
      <c r="EW4" s="202" t="s">
        <v>230</v>
      </c>
      <c r="EX4" s="202"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Y4" s="203" t="e">
        <f>VLOOKUP(EX4,EX5:EY14,2,FALSE)</f>
        <v>#N/A</v>
      </c>
      <c r="EZ4" s="1"/>
      <c r="FA4" s="1"/>
      <c r="FB4" s="190" t="str">
        <f ca="1">language!A477</f>
        <v>об.%</v>
      </c>
      <c r="FC4" s="12" t="str">
        <f ca="1">language!A485</f>
        <v>м³/ч</v>
      </c>
      <c r="FD4" s="190" t="str">
        <f ca="1">language!A489</f>
        <v>Нм³/ч</v>
      </c>
      <c r="FE4" s="190" t="str">
        <f ca="1">language!A492</f>
        <v>м/с</v>
      </c>
      <c r="FF4" s="190" t="str">
        <f ca="1">language!A495</f>
        <v>°C</v>
      </c>
      <c r="FG4" s="190" t="str">
        <f ca="1">language!A499</f>
        <v>бар(и)</v>
      </c>
      <c r="FH4" s="190" t="str">
        <f ca="1">language!A502</f>
        <v>кг/ч</v>
      </c>
      <c r="FI4" s="190" t="str">
        <f ca="1">language!A469</f>
        <v>кг/м³</v>
      </c>
      <c r="FJ4" s="190" t="str">
        <f ca="1">language!A507</f>
        <v>г/моль</v>
      </c>
      <c r="FK4" s="12" t="str">
        <f ca="1">language!A516</f>
        <v>мм</v>
      </c>
      <c r="FL4" s="190" t="str">
        <f ca="1">language!A508</f>
        <v>мин.</v>
      </c>
      <c r="FM4" s="190" t="str">
        <f ca="1">language!A514</f>
        <v>м</v>
      </c>
      <c r="FN4" s="190"/>
      <c r="FO4" s="190"/>
      <c r="FP4" s="190"/>
    </row>
    <row r="5" spans="1:174" ht="14.25" customHeight="1">
      <c r="A5" s="1"/>
      <c r="B5" s="1"/>
      <c r="C5" s="190"/>
      <c r="D5" s="190"/>
      <c r="E5" s="190"/>
      <c r="F5" s="190"/>
      <c r="G5" s="190"/>
      <c r="H5" s="192" t="s">
        <v>1247</v>
      </c>
      <c r="I5" s="192" t="s">
        <v>92</v>
      </c>
      <c r="J5" s="193">
        <v>100</v>
      </c>
      <c r="K5" s="180">
        <v>13</v>
      </c>
      <c r="L5" s="180">
        <v>1600</v>
      </c>
      <c r="M5" s="180">
        <v>460</v>
      </c>
      <c r="N5" s="180">
        <v>56000</v>
      </c>
      <c r="O5" s="1"/>
      <c r="P5" s="1"/>
      <c r="Q5" s="1"/>
      <c r="R5" s="1"/>
      <c r="S5" s="1"/>
      <c r="T5" s="195"/>
      <c r="U5" s="204" t="s">
        <v>1270</v>
      </c>
      <c r="V5" s="1">
        <v>3</v>
      </c>
      <c r="W5" s="1"/>
      <c r="X5" s="1" t="str">
        <f ca="1">language!A90</f>
        <v>ПНГ (влажный)</v>
      </c>
      <c r="Y5" s="1"/>
      <c r="Z5" s="1"/>
      <c r="AA5" s="1"/>
      <c r="AB5" s="1"/>
      <c r="AC5" s="1"/>
      <c r="AD5" s="1" t="str">
        <f ca="1">language!A98</f>
        <v>нет</v>
      </c>
      <c r="AE5" s="1"/>
      <c r="AF5" s="1"/>
      <c r="AG5" s="1" t="str">
        <f ca="1">language!A102</f>
        <v>Углек. газ (CO2)</v>
      </c>
      <c r="AH5" s="45"/>
      <c r="AI5" s="1"/>
      <c r="AJ5" s="1"/>
      <c r="AK5" s="72" t="s">
        <v>77</v>
      </c>
      <c r="AL5" s="72"/>
      <c r="AM5" s="72" t="s">
        <v>81</v>
      </c>
      <c r="AN5" s="72"/>
      <c r="AO5" s="72" t="s">
        <v>451</v>
      </c>
      <c r="AP5" s="1"/>
      <c r="AQ5" s="1" t="s">
        <v>142</v>
      </c>
      <c r="AR5" s="1" t="s">
        <v>142</v>
      </c>
      <c r="AS5" s="1"/>
      <c r="AT5" s="1" t="s">
        <v>88</v>
      </c>
      <c r="AU5" s="1" t="s">
        <v>236</v>
      </c>
      <c r="AV5" s="1"/>
      <c r="AW5" s="286" t="str">
        <f ca="1">IF(LEFT('Page2|Страница 2'!$M$16,4)="ANSI",AW17,IF(OR(LEFT('Page2|Страница 2'!$M$16,4)="GOST",LEFT('Page2|Страница 2'!$M$16,4)="ГОСТ"),AW32,AW20))</f>
        <v>форма Е (DIN 2526)</v>
      </c>
      <c r="AX5" s="1"/>
      <c r="AY5" s="1"/>
      <c r="AZ5" s="1"/>
      <c r="BA5" s="283" t="str">
        <f ca="1">IF(OR(LEFT(AW4,4)="GOST",LEFT(AW4,4)="ГОСТ"),"",language!A214&amp;" Ra 1,6 - Ra 3,2")</f>
        <v>шлифование Ra 1,6 - Ra 3,2</v>
      </c>
      <c r="BB5" s="1" t="s">
        <v>167</v>
      </c>
      <c r="BC5" s="1" t="s">
        <v>171</v>
      </c>
      <c r="BD5" s="1"/>
      <c r="BE5" s="1" t="str">
        <f ca="1">language!A221</f>
        <v>Нерж. Сталь (-194/+280°С)</v>
      </c>
      <c r="BF5" s="1" t="s">
        <v>158</v>
      </c>
      <c r="BG5" s="1">
        <v>2</v>
      </c>
      <c r="BH5" s="1" t="s">
        <v>131</v>
      </c>
      <c r="BI5" s="18" t="s">
        <v>297</v>
      </c>
      <c r="BJ5" s="1"/>
      <c r="BK5" s="1"/>
      <c r="BL5" s="1"/>
      <c r="BM5" s="1"/>
      <c r="BN5" s="1"/>
      <c r="BO5" s="1"/>
      <c r="BP5" s="1"/>
      <c r="BQ5" s="1"/>
      <c r="BR5" s="1"/>
      <c r="BS5" s="1" t="str">
        <f ca="1">language!A235</f>
        <v>Другой</v>
      </c>
      <c r="BT5" s="1" t="s">
        <v>213</v>
      </c>
      <c r="BU5" s="1"/>
      <c r="BV5" s="1"/>
      <c r="BW5" s="72"/>
      <c r="BX5" s="196" t="s">
        <v>1318</v>
      </c>
      <c r="BY5" s="1">
        <v>2</v>
      </c>
      <c r="BZ5" s="1" t="s">
        <v>289</v>
      </c>
      <c r="CA5" s="1" t="s">
        <v>293</v>
      </c>
      <c r="CB5" s="1" t="s">
        <v>292</v>
      </c>
      <c r="CC5" s="1"/>
      <c r="CD5" s="1"/>
      <c r="CE5" s="1"/>
      <c r="CF5" s="1"/>
      <c r="CG5" s="1"/>
      <c r="CH5" s="1"/>
      <c r="CI5" s="1"/>
      <c r="CJ5" s="196" t="str">
        <f ca="1">language!A253</f>
        <v>Проливка природным газом (+/-0,3%; 4 луча )</v>
      </c>
      <c r="CK5" s="1" t="str">
        <f ca="1">language!A257</f>
        <v>Воздух</v>
      </c>
      <c r="CL5" s="1"/>
      <c r="CM5" s="1" t="str">
        <f ca="1">language!A258</f>
        <v>Другой</v>
      </c>
      <c r="CN5" s="1"/>
      <c r="CO5" s="1"/>
      <c r="CP5" s="197" t="s">
        <v>145</v>
      </c>
      <c r="CQ5" s="1" t="str">
        <f ca="1">language!A232</f>
        <v>2%, 5%, 15%, 25%, 40%, 70%, 100%</v>
      </c>
      <c r="CR5" s="1" t="s">
        <v>132</v>
      </c>
      <c r="CS5" s="355" t="str">
        <f ca="1">language!A264</f>
        <v>Технологический учет</v>
      </c>
      <c r="CT5" s="1" t="s">
        <v>229</v>
      </c>
      <c r="CU5" s="45"/>
      <c r="CV5" s="207">
        <v>1</v>
      </c>
      <c r="CW5" s="823" t="s">
        <v>1327</v>
      </c>
      <c r="CX5" s="190">
        <v>1</v>
      </c>
      <c r="CY5" s="1" t="str">
        <f ca="1">language!A320</f>
        <v>Запрос обслуживания</v>
      </c>
      <c r="CZ5" s="1" t="s">
        <v>198</v>
      </c>
      <c r="DA5" s="1"/>
      <c r="DB5" s="1"/>
      <c r="DC5" s="1"/>
      <c r="DD5" s="1"/>
      <c r="DE5" s="1"/>
      <c r="DF5" s="1"/>
      <c r="DG5" s="1"/>
      <c r="DH5" s="1"/>
      <c r="DI5" s="1"/>
      <c r="DJ5" s="1"/>
      <c r="DK5" s="1"/>
      <c r="DL5" s="1"/>
      <c r="DM5" s="1"/>
      <c r="DN5" s="1"/>
      <c r="DO5" s="1"/>
      <c r="DP5" s="45"/>
      <c r="DQ5" s="45"/>
      <c r="DR5" s="227" t="str">
        <f>language!B57</f>
        <v>Flow rate (actual)</v>
      </c>
      <c r="DS5" s="209" t="str">
        <f>unittrans!A5</f>
        <v>m³/h</v>
      </c>
      <c r="DT5" s="209" t="str">
        <f t="shared" si="0"/>
        <v/>
      </c>
      <c r="DU5" s="1"/>
      <c r="DV5" s="1" t="str">
        <f ca="1">language!A46</f>
        <v>Нет</v>
      </c>
      <c r="DW5" s="1"/>
      <c r="DX5" s="1"/>
      <c r="DY5" s="1" t="str">
        <f ca="1">language!A31</f>
        <v>№. ТКП</v>
      </c>
      <c r="DZ5" s="1"/>
      <c r="EA5" s="19" t="s">
        <v>1247</v>
      </c>
      <c r="EB5" s="1" t="s">
        <v>400</v>
      </c>
      <c r="EC5" s="20" t="s">
        <v>401</v>
      </c>
      <c r="ED5" s="20" t="s">
        <v>402</v>
      </c>
      <c r="EE5" s="20" t="s">
        <v>651</v>
      </c>
      <c r="EF5" s="20" t="s">
        <v>132</v>
      </c>
      <c r="EG5" s="20" t="s">
        <v>132</v>
      </c>
      <c r="EH5" s="20"/>
      <c r="EI5" s="26">
        <v>1</v>
      </c>
      <c r="EJ5" s="25" t="str">
        <f ca="1">language!$A$346</f>
        <v>Объём (р.у.), нет импульсов если нет достоверного резултата</v>
      </c>
      <c r="EK5" s="25" t="str">
        <f ca="1">language!$A$347</f>
        <v>Объём (р.у.), направление потока виде свига по фазе +-90°</v>
      </c>
      <c r="EL5" s="25" t="str">
        <f ca="1">language!$A$348</f>
        <v>Объём (р.у.), при отрицательном направлени потока</v>
      </c>
      <c r="EM5" s="25" t="s">
        <v>132</v>
      </c>
      <c r="EN5"/>
      <c r="EO5" s="22"/>
      <c r="EP5" s="205"/>
      <c r="EQ5" s="206"/>
      <c r="ER5" s="1"/>
      <c r="ES5" s="45" t="e">
        <f>VLOOKUP(ES4,ER6:ES84,2,FALSE)</f>
        <v>#N/A</v>
      </c>
      <c r="ET5" s="1"/>
      <c r="EU5" s="46" t="e">
        <f>VLOOKUP(LEFT(EQ4,2),ET7:EU31,2,FALSE)</f>
        <v>#N/A</v>
      </c>
      <c r="EV5" s="72"/>
      <c r="EW5" s="1"/>
      <c r="EX5" s="1">
        <v>1</v>
      </c>
      <c r="EY5" s="1">
        <v>1</v>
      </c>
      <c r="EZ5" s="1"/>
      <c r="FA5" s="1"/>
      <c r="FB5" s="190" t="str">
        <f ca="1">language!A478</f>
        <v>ppm</v>
      </c>
      <c r="FC5" s="12" t="str">
        <f ca="1">language!A487</f>
        <v>ft³/h</v>
      </c>
      <c r="FD5" s="190" t="str">
        <f ca="1">language!A490</f>
        <v>sft³/h</v>
      </c>
      <c r="FE5" s="190" t="str">
        <f ca="1">language!A493</f>
        <v>ft/s</v>
      </c>
      <c r="FF5" s="190" t="str">
        <f ca="1">language!A496</f>
        <v>°F</v>
      </c>
      <c r="FG5" s="190" t="str">
        <f ca="1">language!A500</f>
        <v>psi(и)</v>
      </c>
      <c r="FH5" s="190" t="str">
        <f ca="1">language!A503</f>
        <v>lbs/h</v>
      </c>
      <c r="FI5" s="190" t="str">
        <f ca="1">language!A470</f>
        <v>г/м3</v>
      </c>
      <c r="FJ5" s="190"/>
      <c r="FK5" s="12" t="str">
        <f ca="1">language!A517</f>
        <v>Дюйм</v>
      </c>
      <c r="FL5" s="1"/>
      <c r="FM5" s="190" t="str">
        <f ca="1">language!A515</f>
        <v>ft</v>
      </c>
      <c r="FN5" s="1"/>
      <c r="FO5" s="1"/>
      <c r="FP5" s="1"/>
    </row>
    <row r="6" spans="1:174" ht="14.25" customHeight="1">
      <c r="A6" s="1"/>
      <c r="B6" s="1"/>
      <c r="C6" s="190"/>
      <c r="D6" s="190"/>
      <c r="E6" s="190"/>
      <c r="F6" s="190"/>
      <c r="G6" s="190"/>
      <c r="H6" s="192" t="s">
        <v>1248</v>
      </c>
      <c r="I6" s="192" t="s">
        <v>93</v>
      </c>
      <c r="J6" s="193">
        <v>150</v>
      </c>
      <c r="K6" s="180">
        <v>20</v>
      </c>
      <c r="L6" s="180">
        <v>3000</v>
      </c>
      <c r="M6" s="180">
        <v>710</v>
      </c>
      <c r="N6" s="180">
        <v>106000</v>
      </c>
      <c r="O6" s="1"/>
      <c r="P6" s="1"/>
      <c r="Q6" s="1"/>
      <c r="R6" s="1"/>
      <c r="S6" s="1"/>
      <c r="T6" s="1"/>
      <c r="U6" s="207" t="s">
        <v>1271</v>
      </c>
      <c r="V6" s="1">
        <v>4</v>
      </c>
      <c r="W6" s="1"/>
      <c r="X6" s="1" t="str">
        <f ca="1">language!A78</f>
        <v>Био газ (сухой)</v>
      </c>
      <c r="Y6" s="1"/>
      <c r="Z6" s="1"/>
      <c r="AA6" s="1"/>
      <c r="AB6" s="1"/>
      <c r="AC6" s="1"/>
      <c r="AD6" s="1"/>
      <c r="AE6" s="1"/>
      <c r="AF6" s="1"/>
      <c r="AG6" s="1" t="str">
        <f ca="1">language!A103</f>
        <v>Этан (С2Н4)</v>
      </c>
      <c r="AH6" s="45"/>
      <c r="AI6" s="1"/>
      <c r="AJ6" s="1"/>
      <c r="AK6" s="72" t="s">
        <v>78</v>
      </c>
      <c r="AL6" s="72"/>
      <c r="AM6" s="72" t="s">
        <v>82</v>
      </c>
      <c r="AN6" s="72"/>
      <c r="AO6" s="72" t="s">
        <v>452</v>
      </c>
      <c r="AP6" s="1"/>
      <c r="AQ6" s="1" t="str">
        <f>IF('Page2|Страница 2'!AC16="","",'Page2|Страница 2'!AC16)</f>
        <v/>
      </c>
      <c r="AR6" s="1" t="s">
        <v>143</v>
      </c>
      <c r="AS6" s="1"/>
      <c r="AT6" s="1" t="s">
        <v>89</v>
      </c>
      <c r="AU6" s="1" t="s">
        <v>237</v>
      </c>
      <c r="AV6" s="1"/>
      <c r="AW6" s="286" t="str">
        <f ca="1">IF(LEFT('Page2|Страница 2'!$M$16,4)="ANSI","---",IF(OR(LEFT('Page2|Страница 2'!$M$16,4)="GOST",LEFT('Page2|Страница 2'!$M$16,4)="ГОСТ"),AW33,AW21))</f>
        <v>форма A (EN 1092-1)</v>
      </c>
      <c r="AX6" s="1"/>
      <c r="AY6" s="1"/>
      <c r="AZ6" s="1"/>
      <c r="BA6" s="283" t="str">
        <f ca="1">IF(OR(LEFT(AW4,4)="GOST",LEFT(AW4,4)="ГОСТ"),"",language!A214&amp;" Ra 3,2 - Ra 6,3")</f>
        <v>шлифование Ra 3,2 - Ra 6,3</v>
      </c>
      <c r="BB6" s="1" t="s">
        <v>168</v>
      </c>
      <c r="BC6" s="1" t="s">
        <v>172</v>
      </c>
      <c r="BD6" s="1"/>
      <c r="BE6" s="1" t="str">
        <f ca="1">language!A222</f>
        <v>Дуплекс</v>
      </c>
      <c r="BF6" s="1" t="s">
        <v>157</v>
      </c>
      <c r="BG6" s="1">
        <v>3</v>
      </c>
      <c r="BH6" s="1" t="s">
        <v>6</v>
      </c>
      <c r="BI6" s="18" t="s">
        <v>298</v>
      </c>
      <c r="BJ6" s="1"/>
      <c r="BK6" s="1"/>
      <c r="BL6" s="1"/>
      <c r="BM6" s="1"/>
      <c r="BN6" s="1" t="str">
        <f ca="1">language!A228</f>
        <v>Приемка</v>
      </c>
      <c r="BO6" s="1"/>
      <c r="BP6" s="1"/>
      <c r="BQ6" s="1"/>
      <c r="BR6" s="1"/>
      <c r="BS6" s="1"/>
      <c r="BT6" s="1"/>
      <c r="BU6" s="1"/>
      <c r="BV6" s="1"/>
      <c r="BW6" s="72"/>
      <c r="BX6" s="196" t="s">
        <v>1319</v>
      </c>
      <c r="BY6" s="1">
        <v>3</v>
      </c>
      <c r="BZ6" s="1" t="s">
        <v>290</v>
      </c>
      <c r="CA6" s="1" t="s">
        <v>294</v>
      </c>
      <c r="CB6" s="1" t="s">
        <v>291</v>
      </c>
      <c r="CC6" s="1"/>
      <c r="CD6" s="1"/>
      <c r="CE6" s="1"/>
      <c r="CF6" s="1"/>
      <c r="CG6" s="1"/>
      <c r="CH6" s="1"/>
      <c r="CI6" s="1"/>
      <c r="CJ6" s="196" t="str">
        <f ca="1">language!A255</f>
        <v>Специальная</v>
      </c>
      <c r="CK6" s="1" t="str">
        <f ca="1">language!A77</f>
        <v>Воздух</v>
      </c>
      <c r="CL6" s="1"/>
      <c r="CM6" s="1"/>
      <c r="CN6" s="1"/>
      <c r="CO6" s="1"/>
      <c r="CP6" s="197" t="s">
        <v>192</v>
      </c>
      <c r="CQ6" s="1" t="str">
        <f ca="1">language!A233</f>
        <v>Qmin,  3%, 5%, 15%, 25%, 40%, 70%, 100%</v>
      </c>
      <c r="CR6" s="1" t="s">
        <v>132</v>
      </c>
      <c r="CS6" s="355" t="str">
        <f ca="1">language!A265</f>
        <v>AGA</v>
      </c>
      <c r="CT6" s="1" t="s">
        <v>229</v>
      </c>
      <c r="CU6" s="45"/>
      <c r="CV6" s="207">
        <v>2</v>
      </c>
      <c r="CW6" s="823" t="s">
        <v>1328</v>
      </c>
      <c r="CX6" s="190">
        <v>2</v>
      </c>
      <c r="CY6" s="1" t="str">
        <f ca="1">language!A321</f>
        <v>Направление потока</v>
      </c>
      <c r="CZ6" s="1" t="s">
        <v>199</v>
      </c>
      <c r="DA6" s="1"/>
      <c r="DB6" s="1"/>
      <c r="DC6" s="1"/>
      <c r="DD6" s="1"/>
      <c r="DE6" s="1"/>
      <c r="DF6" s="1"/>
      <c r="DG6" s="1"/>
      <c r="DH6" s="1"/>
      <c r="DI6" s="1"/>
      <c r="DJ6" s="1"/>
      <c r="DK6" s="1"/>
      <c r="DL6" s="1"/>
      <c r="DM6" s="1"/>
      <c r="DN6" s="1"/>
      <c r="DO6" s="1"/>
      <c r="DP6" s="45"/>
      <c r="DQ6" s="45"/>
      <c r="DR6" s="227" t="str">
        <f>language!B58</f>
        <v>Flow rate (standard)</v>
      </c>
      <c r="DS6" s="209" t="str">
        <f>unittrans!A6</f>
        <v>Nm³/h</v>
      </c>
      <c r="DT6" s="209" t="str">
        <f t="shared" si="0"/>
        <v/>
      </c>
      <c r="DU6" s="1"/>
      <c r="DW6" s="1"/>
      <c r="DX6" s="1"/>
      <c r="DY6" s="1" t="str">
        <f ca="1">language!A32</f>
        <v>№. заказа</v>
      </c>
      <c r="DZ6" s="1"/>
      <c r="EA6" s="19" t="s">
        <v>1248</v>
      </c>
      <c r="EB6" s="1" t="s">
        <v>401</v>
      </c>
      <c r="EC6" s="20" t="s">
        <v>402</v>
      </c>
      <c r="ED6" s="20" t="s">
        <v>403</v>
      </c>
      <c r="EE6" s="20" t="s">
        <v>404</v>
      </c>
      <c r="EF6" s="20" t="s">
        <v>413</v>
      </c>
      <c r="EG6" s="20" t="s">
        <v>652</v>
      </c>
      <c r="EH6" s="20"/>
      <c r="EI6" s="26">
        <v>2</v>
      </c>
      <c r="EJ6" s="25" t="str">
        <f ca="1">language!$A$346</f>
        <v>Объём (р.у.), нет импульсов если нет достоверного резултата</v>
      </c>
      <c r="EK6" s="25" t="str">
        <f ca="1">language!$A$347</f>
        <v>Объём (р.у.), направление потока виде свига по фазе +-90°</v>
      </c>
      <c r="EL6" s="25" t="str">
        <f ca="1">language!$A$348</f>
        <v>Объём (р.у.), при отрицательном направлени потока</v>
      </c>
      <c r="EM6" s="25" t="s">
        <v>132</v>
      </c>
      <c r="EN6"/>
      <c r="EO6" s="22"/>
      <c r="EP6"/>
      <c r="EQ6"/>
      <c r="ER6"/>
      <c r="ES6"/>
      <c r="ET6" s="208"/>
      <c r="EV6" s="72"/>
      <c r="EW6" s="1"/>
      <c r="EX6" s="1">
        <v>2</v>
      </c>
      <c r="EY6" s="1">
        <v>1</v>
      </c>
      <c r="EZ6" s="1"/>
      <c r="FA6" s="1"/>
      <c r="FB6" s="190" t="str">
        <f ca="1">language!A479</f>
        <v>г/м3</v>
      </c>
      <c r="FD6" s="190"/>
      <c r="FE6" s="190"/>
      <c r="FF6" s="190"/>
      <c r="FG6" s="190"/>
      <c r="FH6" s="190"/>
      <c r="FI6" s="190" t="str">
        <f ca="1">language!A471</f>
        <v>lbs/aft³</v>
      </c>
      <c r="FJ6" s="190"/>
      <c r="FK6" s="1"/>
      <c r="FL6" s="1"/>
      <c r="FM6" s="190" t="str">
        <f ca="1">language!A513</f>
        <v>D</v>
      </c>
      <c r="FN6" s="1"/>
      <c r="FO6" s="1"/>
      <c r="FP6" s="1"/>
    </row>
    <row r="7" spans="1:174" ht="14.25" customHeight="1">
      <c r="A7" s="1"/>
      <c r="B7" s="1"/>
      <c r="C7" s="190"/>
      <c r="D7" s="190"/>
      <c r="E7" s="190"/>
      <c r="F7" s="190"/>
      <c r="G7" s="190"/>
      <c r="H7" s="192" t="s">
        <v>1249</v>
      </c>
      <c r="I7" s="192" t="s">
        <v>94</v>
      </c>
      <c r="J7" s="193">
        <v>200</v>
      </c>
      <c r="K7" s="180">
        <v>32</v>
      </c>
      <c r="L7" s="180">
        <v>4500</v>
      </c>
      <c r="M7" s="180">
        <v>1130</v>
      </c>
      <c r="N7" s="180">
        <v>159000</v>
      </c>
      <c r="O7" s="1"/>
      <c r="P7" s="1"/>
      <c r="Q7" s="1"/>
      <c r="R7" s="1"/>
      <c r="S7" s="1"/>
      <c r="T7" s="3"/>
      <c r="U7" s="207"/>
      <c r="V7" s="1"/>
      <c r="W7" s="1"/>
      <c r="X7" s="1" t="str">
        <f ca="1">language!A79</f>
        <v>Био газ (влажный)</v>
      </c>
      <c r="Y7" s="1"/>
      <c r="Z7" s="1"/>
      <c r="AA7" s="1"/>
      <c r="AB7" s="1"/>
      <c r="AC7" s="1"/>
      <c r="AD7" s="1"/>
      <c r="AE7" s="1"/>
      <c r="AF7" s="1"/>
      <c r="AG7" s="1" t="str">
        <f ca="1">language!A104</f>
        <v>Пропан (С3Н8)</v>
      </c>
      <c r="AH7" s="45"/>
      <c r="AI7" s="181" t="s">
        <v>349</v>
      </c>
      <c r="AJ7" s="1"/>
      <c r="AK7" s="72" t="s">
        <v>79</v>
      </c>
      <c r="AL7" s="72"/>
      <c r="AM7" s="72" t="s">
        <v>83</v>
      </c>
      <c r="AN7" s="72"/>
      <c r="AO7" s="72" t="s">
        <v>453</v>
      </c>
      <c r="AP7" s="1"/>
      <c r="AQ7" s="1"/>
      <c r="AR7" s="1"/>
      <c r="AS7" s="1"/>
      <c r="AT7" s="1" t="s">
        <v>90</v>
      </c>
      <c r="AU7" s="1" t="e">
        <f>'Page2|Страница 2'!#REF!</f>
        <v>#REF!</v>
      </c>
      <c r="AV7" s="1"/>
      <c r="AW7" s="286" t="str">
        <f ca="1">IF(LEFT('Page2|Страница 2'!$M$16,4)="ANSI","---",IF(OR(LEFT('Page2|Страница 2'!$M$16,4)="GOST",LEFT('Page2|Страница 2'!$M$16,4)="ГОСТ"),AW34,AW22))</f>
        <v>форма В1 (EN 1092-1)</v>
      </c>
      <c r="AX7" s="1"/>
      <c r="AY7" s="1"/>
      <c r="AZ7" s="1"/>
      <c r="BA7" s="283" t="str">
        <f ca="1">IF(OR(LEFT(AW4,4)="GOST",LEFT(AW4,4)="ГОСТ"),"",language!A214&amp;" Ra 6,3 - Ra 12,5")</f>
        <v>шлифование Ra 6,3 - Ra 12,5</v>
      </c>
      <c r="BB7" s="1"/>
      <c r="BC7" s="1" t="s">
        <v>165</v>
      </c>
      <c r="BD7" s="1"/>
      <c r="BE7" s="1" t="str">
        <f ca="1">language!A223</f>
        <v>Другой</v>
      </c>
      <c r="BF7" s="1"/>
      <c r="BG7" s="1"/>
      <c r="BH7" s="1"/>
      <c r="BI7" s="1"/>
      <c r="BJ7" s="1"/>
      <c r="BK7" s="1"/>
      <c r="BL7" s="1"/>
      <c r="BM7" s="1"/>
      <c r="BN7" s="1"/>
      <c r="BO7" s="1"/>
      <c r="BP7" s="1"/>
      <c r="BQ7" s="1"/>
      <c r="BR7" s="1"/>
      <c r="BS7" s="1"/>
      <c r="BT7" s="1"/>
      <c r="BU7" s="1"/>
      <c r="BV7" s="1"/>
      <c r="BW7" s="277"/>
      <c r="BX7" s="196" t="s">
        <v>1320</v>
      </c>
      <c r="BY7" s="1">
        <v>5</v>
      </c>
      <c r="BZ7" s="1"/>
      <c r="CA7" s="1"/>
      <c r="CB7" s="1"/>
      <c r="CC7" s="1"/>
      <c r="CD7" s="1"/>
      <c r="CE7" s="1"/>
      <c r="CF7" s="1"/>
      <c r="CG7" s="1"/>
      <c r="CH7" s="1"/>
      <c r="CI7" s="1"/>
      <c r="CK7" s="1" t="str">
        <f ca="1">language!A77</f>
        <v>Воздух</v>
      </c>
      <c r="CL7" s="1"/>
      <c r="CM7" s="1"/>
      <c r="CN7" s="1"/>
      <c r="CO7" s="1"/>
      <c r="CP7" s="197" t="s">
        <v>981</v>
      </c>
      <c r="CQ7" s="1" t="str">
        <f ca="1">language!A234</f>
        <v>2,5%, 5%, 10%, 25%, 50%, 75%, 100%</v>
      </c>
      <c r="CR7" s="1"/>
      <c r="CS7" s="355" t="str">
        <f ca="1">language!A266</f>
        <v>Алжир</v>
      </c>
      <c r="CT7" s="1" t="s">
        <v>229</v>
      </c>
      <c r="CU7" s="45"/>
      <c r="CV7" s="207">
        <v>3</v>
      </c>
      <c r="CW7" s="823" t="s">
        <v>1329</v>
      </c>
      <c r="CX7" s="190">
        <v>3</v>
      </c>
      <c r="CY7" s="1"/>
      <c r="CZ7" s="1"/>
      <c r="DA7" s="1"/>
      <c r="DB7" s="1"/>
      <c r="DC7" s="1"/>
      <c r="DD7" s="1"/>
      <c r="DE7" s="1"/>
      <c r="DF7" s="1"/>
      <c r="DG7" s="1"/>
      <c r="DH7" s="1"/>
      <c r="DI7" s="1"/>
      <c r="DJ7" s="1"/>
      <c r="DK7" s="1"/>
      <c r="DL7" s="1"/>
      <c r="DM7" s="1"/>
      <c r="DN7" s="1"/>
      <c r="DO7" s="1"/>
      <c r="DP7" s="45"/>
      <c r="DQ7" s="45"/>
      <c r="DR7" s="227" t="str">
        <f>language!B59</f>
        <v>Gas velocity</v>
      </c>
      <c r="DS7" s="209" t="str">
        <f>unittrans!A7</f>
        <v>m/s</v>
      </c>
      <c r="DT7" s="209" t="str">
        <f t="shared" si="0"/>
        <v/>
      </c>
      <c r="DU7" s="1"/>
      <c r="DV7" s="1"/>
      <c r="DW7" s="1"/>
      <c r="DX7" s="1"/>
      <c r="DY7" s="1"/>
      <c r="DZ7" s="1"/>
      <c r="EA7" s="19" t="s">
        <v>1249</v>
      </c>
      <c r="EB7" s="1" t="s">
        <v>402</v>
      </c>
      <c r="EC7" s="20" t="s">
        <v>403</v>
      </c>
      <c r="ED7" s="20" t="s">
        <v>404</v>
      </c>
      <c r="EE7" s="20" t="s">
        <v>405</v>
      </c>
      <c r="EF7" s="20" t="s">
        <v>414</v>
      </c>
      <c r="EG7" s="20" t="s">
        <v>466</v>
      </c>
      <c r="EH7" s="20"/>
      <c r="EI7" s="26">
        <v>3</v>
      </c>
      <c r="EJ7" s="25" t="str">
        <f ca="1">language!A$352</f>
        <v>Статус Предупреждение</v>
      </c>
      <c r="EK7" s="25" t="str">
        <f ca="1">language!A$353</f>
        <v>Статус Сбой</v>
      </c>
      <c r="EL7" s="25" t="str">
        <f ca="1">language!A$354</f>
        <v>Статус Необх. тех. обслуживания</v>
      </c>
      <c r="EM7" s="25" t="str">
        <f ca="1">language!A$355</f>
        <v>Статус Направление расхода</v>
      </c>
      <c r="EN7"/>
      <c r="EO7" s="22"/>
      <c r="EP7" s="818" t="s">
        <v>91</v>
      </c>
      <c r="EQ7" s="241" t="s">
        <v>956</v>
      </c>
      <c r="ER7" s="38" t="str">
        <f>CONCATENATE($EP$7,EQ7)</f>
        <v>03G100</v>
      </c>
      <c r="ES7" s="39">
        <v>45000</v>
      </c>
      <c r="ET7" s="239" t="s">
        <v>982</v>
      </c>
      <c r="EU7" s="2">
        <v>18000</v>
      </c>
      <c r="EV7" s="72"/>
      <c r="EW7" s="1"/>
      <c r="EX7" s="1">
        <v>3</v>
      </c>
      <c r="EY7" s="1">
        <v>1</v>
      </c>
      <c r="EZ7" s="1"/>
      <c r="FA7" s="1"/>
      <c r="FB7" s="190" t="str">
        <f ca="1">language!A481</f>
        <v>Lb/ft³</v>
      </c>
      <c r="FC7" s="190"/>
      <c r="FD7" s="190"/>
      <c r="FE7" s="190"/>
      <c r="FF7" s="190"/>
      <c r="FG7" s="190"/>
      <c r="FH7" s="190"/>
      <c r="FI7" s="190"/>
      <c r="FJ7" s="190"/>
      <c r="FK7" s="1"/>
      <c r="FL7" s="1"/>
      <c r="FM7" s="1"/>
      <c r="FN7" s="1"/>
      <c r="FO7" s="1"/>
      <c r="FP7" s="1"/>
    </row>
    <row r="8" spans="1:174" ht="14.25" customHeight="1">
      <c r="A8" s="1"/>
      <c r="B8" s="1"/>
      <c r="C8" s="190"/>
      <c r="D8" s="190"/>
      <c r="E8" s="190"/>
      <c r="F8" s="190"/>
      <c r="G8" s="190"/>
      <c r="H8" s="192" t="s">
        <v>1250</v>
      </c>
      <c r="I8" s="192" t="s">
        <v>95</v>
      </c>
      <c r="J8" s="193">
        <v>250</v>
      </c>
      <c r="K8" s="180">
        <v>50</v>
      </c>
      <c r="L8" s="180">
        <v>7000</v>
      </c>
      <c r="M8" s="180">
        <v>1770</v>
      </c>
      <c r="N8" s="180">
        <v>247000</v>
      </c>
      <c r="O8" s="1"/>
      <c r="P8" s="1"/>
      <c r="Q8" s="1"/>
      <c r="R8" s="1"/>
      <c r="S8" s="1"/>
      <c r="T8" s="1"/>
      <c r="U8" s="3"/>
      <c r="V8" s="1"/>
      <c r="W8" s="1"/>
      <c r="X8" s="1" t="str">
        <f ca="1">language!A80</f>
        <v>CO2</v>
      </c>
      <c r="Y8" s="1"/>
      <c r="Z8" s="1"/>
      <c r="AA8" s="1"/>
      <c r="AB8" s="1"/>
      <c r="AC8" s="1"/>
      <c r="AD8" s="1"/>
      <c r="AE8" s="1"/>
      <c r="AF8" s="1"/>
      <c r="AG8" s="1" t="str">
        <f ca="1">language!A105</f>
        <v>н-Бутан (n-C4H10)</v>
      </c>
      <c r="AH8" s="45"/>
      <c r="AI8" s="9" t="s">
        <v>350</v>
      </c>
      <c r="AJ8" s="1"/>
      <c r="AK8" s="72" t="s">
        <v>80</v>
      </c>
      <c r="AL8" s="72"/>
      <c r="AM8" s="72" t="s">
        <v>329</v>
      </c>
      <c r="AN8" s="72"/>
      <c r="AO8" s="235" t="s">
        <v>454</v>
      </c>
      <c r="AP8" s="1"/>
      <c r="AQ8" s="1"/>
      <c r="AR8" s="1"/>
      <c r="AS8" s="1"/>
      <c r="AT8" s="1"/>
      <c r="AU8" s="1"/>
      <c r="AV8" s="1"/>
      <c r="AW8" s="286" t="str">
        <f ca="1">IF(LEFT('Page2|Страница 2'!$M$16,4)="ANSI","---",IF(OR(LEFT('Page2|Страница 2'!$M$16,4)="GOST",LEFT('Page2|Страница 2'!$M$16,4)="ГОСТ"),AW35,AW23))</f>
        <v>форма В2 (EN 1092-1)</v>
      </c>
      <c r="AX8" s="1"/>
      <c r="AY8" s="1"/>
      <c r="AZ8" s="1"/>
      <c r="BA8" s="1"/>
      <c r="BB8" s="1"/>
      <c r="BC8" s="1"/>
      <c r="BD8" s="1"/>
      <c r="BE8" s="1"/>
      <c r="BF8" s="1"/>
      <c r="BG8" s="1"/>
      <c r="BH8" s="1"/>
      <c r="BI8" s="1"/>
      <c r="BJ8" s="1"/>
      <c r="BK8" s="1"/>
      <c r="BL8" s="1"/>
      <c r="BM8" s="1"/>
      <c r="BN8" s="1"/>
      <c r="BO8" s="1"/>
      <c r="BP8" s="1"/>
      <c r="BQ8" s="1"/>
      <c r="BR8" s="1"/>
      <c r="BS8" s="1"/>
      <c r="BT8" s="1"/>
      <c r="BU8" s="1"/>
      <c r="BV8" s="1"/>
      <c r="BW8" s="277"/>
      <c r="BX8" s="196" t="s">
        <v>395</v>
      </c>
      <c r="BY8" s="1">
        <v>6</v>
      </c>
      <c r="BZ8" s="1"/>
      <c r="CA8" s="1"/>
      <c r="CB8" s="1"/>
      <c r="CC8" s="1"/>
      <c r="CD8" s="1"/>
      <c r="CE8" s="1"/>
      <c r="CF8" s="1"/>
      <c r="CG8" s="1"/>
      <c r="CH8" s="1"/>
      <c r="CI8" s="1"/>
      <c r="CK8" s="1"/>
      <c r="CL8" s="1"/>
      <c r="CM8" s="1"/>
      <c r="CN8" s="1"/>
      <c r="CO8" s="1"/>
      <c r="CP8" s="1" t="str">
        <f ca="1">language!A235</f>
        <v>Другой</v>
      </c>
      <c r="CQ8" s="1" t="str">
        <f ca="1">language!A235</f>
        <v>Другой</v>
      </c>
      <c r="CR8" s="1"/>
      <c r="CS8" s="355" t="str">
        <f ca="1">language!A267</f>
        <v>Австрия - BEV</v>
      </c>
      <c r="CT8" s="1" t="s">
        <v>229</v>
      </c>
      <c r="CU8" s="45"/>
      <c r="CV8" s="207">
        <v>4</v>
      </c>
      <c r="CW8" s="823" t="s">
        <v>1330</v>
      </c>
      <c r="CX8" s="190">
        <v>4</v>
      </c>
      <c r="CY8" s="1"/>
      <c r="CZ8" s="1"/>
      <c r="DA8" s="1"/>
      <c r="DB8" s="1"/>
      <c r="DC8" s="1"/>
      <c r="DD8" s="1"/>
      <c r="DE8" s="1"/>
      <c r="DF8" s="1"/>
      <c r="DG8" s="1"/>
      <c r="DH8" s="1"/>
      <c r="DI8" s="1"/>
      <c r="DJ8" s="1"/>
      <c r="DK8" s="1"/>
      <c r="DL8" s="1"/>
      <c r="DM8" s="1"/>
      <c r="DN8" s="1"/>
      <c r="DO8" s="1"/>
      <c r="DP8" s="45"/>
      <c r="DQ8" s="45"/>
      <c r="DR8" s="227" t="str">
        <f>language!B60</f>
        <v>Operating temperature</v>
      </c>
      <c r="DS8" s="209" t="str">
        <f>unittrans!A8</f>
        <v>°C</v>
      </c>
      <c r="DT8" s="209" t="str">
        <f t="shared" si="0"/>
        <v/>
      </c>
      <c r="DU8" s="1"/>
      <c r="DV8" s="1"/>
      <c r="DW8" s="1"/>
      <c r="DX8" s="1"/>
      <c r="DY8" s="1"/>
      <c r="DZ8" s="1"/>
      <c r="EA8" s="19" t="s">
        <v>1250</v>
      </c>
      <c r="EB8" s="20" t="s">
        <v>404</v>
      </c>
      <c r="EC8" s="20" t="s">
        <v>405</v>
      </c>
      <c r="ED8" s="20" t="s">
        <v>406</v>
      </c>
      <c r="EE8" s="20" t="s">
        <v>415</v>
      </c>
      <c r="EF8" s="20" t="s">
        <v>653</v>
      </c>
      <c r="EG8" s="20" t="s">
        <v>132</v>
      </c>
      <c r="EH8" s="20"/>
      <c r="EI8" s="26">
        <v>4</v>
      </c>
      <c r="EJ8" s="25" t="str">
        <f ca="1">language!$A$357</f>
        <v>Расход (р.у.)</v>
      </c>
      <c r="EK8" s="25" t="str">
        <f ca="1">language!$A$358</f>
        <v>Скорость газа</v>
      </c>
      <c r="EL8" s="25" t="str">
        <f ca="1">language!$A$359</f>
        <v>Скорость звука</v>
      </c>
      <c r="EM8" s="25" t="s">
        <v>132</v>
      </c>
      <c r="EN8"/>
      <c r="EO8" s="26"/>
      <c r="EP8" s="819"/>
      <c r="EQ8" s="7" t="s">
        <v>400</v>
      </c>
      <c r="ER8" s="32" t="str">
        <f>CONCATENATE($EP$7,EQ8)</f>
        <v>03G160</v>
      </c>
      <c r="ES8" s="40">
        <v>28800</v>
      </c>
      <c r="ET8" s="239" t="s">
        <v>91</v>
      </c>
      <c r="EU8" s="206">
        <v>7200</v>
      </c>
      <c r="EV8" s="72"/>
      <c r="EW8" s="1"/>
      <c r="EX8" s="1">
        <v>4</v>
      </c>
      <c r="EY8" s="1">
        <v>2</v>
      </c>
      <c r="EZ8" s="1"/>
      <c r="FA8" s="1"/>
      <c r="FB8" s="12" t="str">
        <f ca="1">language!A469</f>
        <v>кг/м³</v>
      </c>
      <c r="FC8" s="190"/>
      <c r="FD8" s="190"/>
      <c r="FE8" s="190"/>
      <c r="FF8" s="190"/>
      <c r="FG8" s="190"/>
      <c r="FH8" s="190"/>
      <c r="FI8" s="190"/>
      <c r="FJ8" s="190"/>
      <c r="FK8" s="1"/>
      <c r="FL8" s="1"/>
      <c r="FM8" s="1"/>
      <c r="FN8" s="1"/>
      <c r="FO8" s="1"/>
      <c r="FP8" s="1"/>
    </row>
    <row r="9" spans="1:174" ht="14.25" customHeight="1">
      <c r="A9" s="1"/>
      <c r="B9" s="1"/>
      <c r="C9" s="190"/>
      <c r="D9" s="190"/>
      <c r="E9" s="190"/>
      <c r="F9" s="190"/>
      <c r="G9" s="190"/>
      <c r="H9" s="192" t="s">
        <v>1251</v>
      </c>
      <c r="I9" s="192" t="s">
        <v>96</v>
      </c>
      <c r="J9" s="193">
        <v>300</v>
      </c>
      <c r="K9" s="180">
        <v>65</v>
      </c>
      <c r="L9" s="180">
        <v>8000</v>
      </c>
      <c r="M9" s="180">
        <v>2300</v>
      </c>
      <c r="N9" s="180">
        <v>282000</v>
      </c>
      <c r="O9" s="1"/>
      <c r="P9" s="1"/>
      <c r="Q9" s="1"/>
      <c r="R9" s="1"/>
      <c r="S9" s="1"/>
      <c r="T9" s="1"/>
      <c r="U9" s="1"/>
      <c r="V9" s="1"/>
      <c r="W9" s="1"/>
      <c r="X9" s="1" t="str">
        <f ca="1">language!A81</f>
        <v>Этилен</v>
      </c>
      <c r="Y9" s="1"/>
      <c r="Z9" s="1"/>
      <c r="AA9" s="1"/>
      <c r="AB9" s="1"/>
      <c r="AC9" s="1"/>
      <c r="AD9" s="1"/>
      <c r="AE9" s="1"/>
      <c r="AF9" s="1"/>
      <c r="AG9" s="1" t="str">
        <f ca="1">language!A106</f>
        <v>и-Бутан (i-C4H10)</v>
      </c>
      <c r="AH9" s="45"/>
      <c r="AI9" s="1" t="s">
        <v>1079</v>
      </c>
      <c r="AJ9" s="1"/>
      <c r="AK9" s="72"/>
      <c r="AL9" s="72"/>
      <c r="AM9" s="72" t="s">
        <v>84</v>
      </c>
      <c r="AN9" s="72"/>
      <c r="AO9" s="72" t="s">
        <v>1054</v>
      </c>
      <c r="AP9" s="1"/>
      <c r="AQ9" s="1"/>
      <c r="AR9" s="1"/>
      <c r="AS9" s="1"/>
      <c r="AT9" s="1"/>
      <c r="AU9" s="1"/>
      <c r="AV9" s="1"/>
      <c r="AW9" s="286" t="str">
        <f ca="1">IF(LEFT('Page2|Страница 2'!$M$16,4)="ANSI","---",IF(OR(LEFT('Page2|Страница 2'!$M$16,4)="GOST",LEFT('Page2|Страница 2'!$M$16,4)="ГОСТ"),AW36,AW24))</f>
        <v>форма C (EN 1092-1)</v>
      </c>
      <c r="AX9" s="1"/>
      <c r="AY9" s="1"/>
      <c r="AZ9" s="1"/>
      <c r="BA9" s="1"/>
      <c r="BB9" s="1"/>
      <c r="BC9" s="1"/>
      <c r="BD9" s="1"/>
      <c r="BE9" s="1"/>
      <c r="BF9" s="1"/>
      <c r="BG9" s="1"/>
      <c r="BH9" s="1"/>
      <c r="BI9" s="1"/>
      <c r="BJ9" s="1"/>
      <c r="BK9" s="1"/>
      <c r="BL9" s="1"/>
      <c r="BM9" s="1"/>
      <c r="BN9" s="1"/>
      <c r="BO9" s="1"/>
      <c r="BP9" s="1"/>
      <c r="BQ9" s="1"/>
      <c r="BR9" s="1"/>
      <c r="BS9" s="1"/>
      <c r="BT9" s="1"/>
      <c r="BU9" s="1"/>
      <c r="BV9" s="1"/>
      <c r="BW9" s="72"/>
      <c r="BX9" s="196" t="s">
        <v>983</v>
      </c>
      <c r="BY9" s="1">
        <v>7</v>
      </c>
      <c r="BZ9" s="1"/>
      <c r="CA9" s="1"/>
      <c r="CB9" s="1"/>
      <c r="CC9" s="1"/>
      <c r="CD9" s="1"/>
      <c r="CE9" s="1"/>
      <c r="CF9" s="1"/>
      <c r="CG9" s="1"/>
      <c r="CH9" s="1"/>
      <c r="CI9" s="1"/>
      <c r="CJ9" s="1"/>
      <c r="CK9" s="1"/>
      <c r="CL9" s="1"/>
      <c r="CM9" s="1"/>
      <c r="CN9" s="1"/>
      <c r="CO9" s="1"/>
      <c r="CP9" s="1"/>
      <c r="CQ9" s="1"/>
      <c r="CR9" s="1"/>
      <c r="CS9" s="355" t="str">
        <f ca="1">language!A268</f>
        <v xml:space="preserve">Беларусь </v>
      </c>
      <c r="CT9" s="1" t="s">
        <v>229</v>
      </c>
      <c r="CU9" s="45"/>
      <c r="CV9" s="207">
        <v>5</v>
      </c>
      <c r="CW9" s="823" t="s">
        <v>1331</v>
      </c>
      <c r="CX9" s="190">
        <v>5</v>
      </c>
      <c r="CY9" s="1"/>
      <c r="CZ9" s="1"/>
      <c r="DA9" s="1"/>
      <c r="DB9" s="1"/>
      <c r="DC9" s="1"/>
      <c r="DD9" s="1"/>
      <c r="DE9" s="1"/>
      <c r="DF9" s="1"/>
      <c r="DG9" s="1"/>
      <c r="DH9" s="1"/>
      <c r="DI9" s="1"/>
      <c r="DJ9" s="1"/>
      <c r="DK9" s="1"/>
      <c r="DL9" s="1"/>
      <c r="DM9" s="1"/>
      <c r="DN9" s="1"/>
      <c r="DO9" s="1"/>
      <c r="DP9" s="45"/>
      <c r="DQ9" s="45"/>
      <c r="DR9" s="227" t="str">
        <f>language!B61</f>
        <v>Operating pressure</v>
      </c>
      <c r="DS9" s="209" t="str">
        <f>unittrans!A9</f>
        <v>bar(g)</v>
      </c>
      <c r="DT9" s="209" t="str">
        <f t="shared" si="0"/>
        <v/>
      </c>
      <c r="DU9" s="1"/>
      <c r="DV9" s="1"/>
      <c r="DW9" s="1"/>
      <c r="DX9" s="1"/>
      <c r="DY9" s="1"/>
      <c r="DZ9" s="1"/>
      <c r="EA9" s="19" t="s">
        <v>1251</v>
      </c>
      <c r="EB9" s="20" t="s">
        <v>405</v>
      </c>
      <c r="EC9" s="20" t="s">
        <v>406</v>
      </c>
      <c r="ED9" s="20" t="s">
        <v>407</v>
      </c>
      <c r="EE9" s="20" t="s">
        <v>416</v>
      </c>
      <c r="EF9" s="20" t="s">
        <v>132</v>
      </c>
      <c r="EG9" s="20" t="s">
        <v>132</v>
      </c>
      <c r="EH9" s="20"/>
      <c r="EI9" s="26">
        <v>5</v>
      </c>
      <c r="EJ9" s="25" t="str">
        <f ca="1">language!$A$357</f>
        <v>Расход (р.у.)</v>
      </c>
      <c r="EK9" s="25" t="str">
        <f ca="1">language!$A$358</f>
        <v>Скорость газа</v>
      </c>
      <c r="EL9" s="25" t="str">
        <f ca="1">language!$A$359</f>
        <v>Скорость звука</v>
      </c>
      <c r="EM9" s="25" t="s">
        <v>132</v>
      </c>
      <c r="EN9"/>
      <c r="EO9" s="26"/>
      <c r="EP9" s="819"/>
      <c r="EQ9" s="7" t="s">
        <v>401</v>
      </c>
      <c r="ER9" s="32" t="str">
        <f>CONCATENATE($EP$7,EQ9)</f>
        <v>03G250</v>
      </c>
      <c r="ES9" s="40">
        <v>18000</v>
      </c>
      <c r="ET9" s="239" t="s">
        <v>92</v>
      </c>
      <c r="EU9" s="1">
        <v>4500</v>
      </c>
      <c r="EV9" s="72"/>
      <c r="EW9" s="1"/>
      <c r="EX9" s="1">
        <v>5</v>
      </c>
      <c r="EY9" s="1">
        <v>2</v>
      </c>
      <c r="EZ9" s="1"/>
      <c r="FA9" s="1"/>
      <c r="FB9" s="190" t="str">
        <f ca="1">language!A485</f>
        <v>м³/ч</v>
      </c>
      <c r="FC9" s="190"/>
      <c r="FD9" s="190"/>
      <c r="FE9" s="190"/>
      <c r="FF9" s="190"/>
      <c r="FG9" s="190"/>
      <c r="FH9" s="190"/>
      <c r="FI9" s="190"/>
      <c r="FJ9" s="190"/>
      <c r="FK9" s="1"/>
      <c r="FL9" s="1"/>
      <c r="FM9" s="1"/>
      <c r="FN9" s="1"/>
      <c r="FO9" s="1"/>
      <c r="FP9" s="1"/>
    </row>
    <row r="10" spans="1:174" ht="14.25" customHeight="1">
      <c r="A10" s="1"/>
      <c r="B10" s="1"/>
      <c r="C10" s="190"/>
      <c r="D10" s="190"/>
      <c r="E10" s="190"/>
      <c r="F10" s="190"/>
      <c r="G10" s="190"/>
      <c r="H10" s="192" t="s">
        <v>1252</v>
      </c>
      <c r="I10" s="192" t="s">
        <v>97</v>
      </c>
      <c r="J10" s="193">
        <v>350</v>
      </c>
      <c r="K10" s="180">
        <v>80</v>
      </c>
      <c r="L10" s="180">
        <v>10000</v>
      </c>
      <c r="M10" s="180">
        <v>2830</v>
      </c>
      <c r="N10" s="180">
        <v>353000</v>
      </c>
      <c r="O10" s="1"/>
      <c r="P10" s="1"/>
      <c r="Q10" s="1"/>
      <c r="R10" s="1"/>
      <c r="S10" s="1"/>
      <c r="T10" s="204"/>
      <c r="U10" s="1"/>
      <c r="V10" s="1"/>
      <c r="W10" s="1"/>
      <c r="X10" s="1" t="str">
        <f ca="1">language!A82</f>
        <v>Факельный газ</v>
      </c>
      <c r="Y10" s="1"/>
      <c r="Z10" s="1"/>
      <c r="AA10" s="1"/>
      <c r="AB10" s="1"/>
      <c r="AC10" s="1"/>
      <c r="AD10" s="1"/>
      <c r="AE10" s="1"/>
      <c r="AF10" s="1"/>
      <c r="AG10" s="1" t="str">
        <f ca="1">language!A107</f>
        <v>н-Пентан (n-C5H12)</v>
      </c>
      <c r="AH10" s="45"/>
      <c r="AI10" s="1" t="str">
        <f>IF(langchoose="Russian","","ASME B31.3")</f>
        <v>ASME B31.3</v>
      </c>
      <c r="AJ10" s="1"/>
      <c r="AK10" s="72"/>
      <c r="AL10" s="72"/>
      <c r="AM10" s="72" t="s">
        <v>85</v>
      </c>
      <c r="AN10" s="72"/>
      <c r="AO10" s="72" t="s">
        <v>1055</v>
      </c>
      <c r="AP10" s="1"/>
      <c r="AQ10" s="1"/>
      <c r="AR10" s="1"/>
      <c r="AS10" s="1"/>
      <c r="AT10" s="1"/>
      <c r="AU10" s="1"/>
      <c r="AV10" s="1"/>
      <c r="AW10" s="286" t="str">
        <f ca="1">IF(LEFT('Page2|Страница 2'!$M$16,4)="ANSI","---",IF(OR(LEFT('Page2|Страница 2'!$M$16,4)="GOST",LEFT('Page2|Страница 2'!$M$16,4)="ГОСТ"),AW37,AW25))</f>
        <v>форма D (EN 1092-1)</v>
      </c>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277"/>
      <c r="BX10" s="196" t="s">
        <v>1027</v>
      </c>
      <c r="BY10" s="1"/>
      <c r="BZ10" s="1"/>
      <c r="CA10" s="1"/>
      <c r="CB10" s="1"/>
      <c r="CC10" s="1"/>
      <c r="CD10" s="1"/>
      <c r="CE10" s="1"/>
      <c r="CF10" s="1"/>
      <c r="CG10" s="1"/>
      <c r="CH10" s="1"/>
      <c r="CI10" s="1"/>
      <c r="CJ10" s="1"/>
      <c r="CK10" s="1"/>
      <c r="CL10" s="1"/>
      <c r="CM10" s="1"/>
      <c r="CN10" s="1"/>
      <c r="CO10" s="1"/>
      <c r="CP10" s="1"/>
      <c r="CQ10" s="1"/>
      <c r="CR10" s="1"/>
      <c r="CS10" s="355" t="str">
        <f ca="1">language!A269</f>
        <v>Бразилия - IMM</v>
      </c>
      <c r="CT10" s="1" t="s">
        <v>229</v>
      </c>
      <c r="CU10" s="45"/>
      <c r="CV10" s="207"/>
      <c r="CX10" s="190"/>
      <c r="CY10" s="1"/>
      <c r="CZ10" s="1"/>
      <c r="DA10" s="1"/>
      <c r="DB10" s="1"/>
      <c r="DC10" s="1"/>
      <c r="DD10" s="1"/>
      <c r="DE10" s="1"/>
      <c r="DF10" s="1"/>
      <c r="DG10" s="1"/>
      <c r="DH10" s="1"/>
      <c r="DI10" s="1"/>
      <c r="DJ10" s="1"/>
      <c r="DK10" s="1"/>
      <c r="DL10" s="1"/>
      <c r="DM10" s="1"/>
      <c r="DN10" s="1"/>
      <c r="DO10" s="1"/>
      <c r="DP10" s="45"/>
      <c r="DQ10" s="45"/>
      <c r="DR10" s="227" t="str">
        <f>language!B62</f>
        <v>Mass flow rate</v>
      </c>
      <c r="DS10" s="209" t="str">
        <f>unittrans!A10</f>
        <v>kg/h</v>
      </c>
      <c r="DT10" s="209" t="str">
        <f t="shared" si="0"/>
        <v/>
      </c>
      <c r="DU10" s="1"/>
      <c r="DV10" s="1"/>
      <c r="DW10" s="1"/>
      <c r="DX10" s="1"/>
      <c r="DY10" s="1"/>
      <c r="DZ10" s="1"/>
      <c r="EA10" s="19" t="s">
        <v>1252</v>
      </c>
      <c r="EB10" s="20" t="s">
        <v>405</v>
      </c>
      <c r="EC10" s="20" t="s">
        <v>406</v>
      </c>
      <c r="ED10" s="20" t="s">
        <v>407</v>
      </c>
      <c r="EE10" s="20" t="s">
        <v>416</v>
      </c>
      <c r="EF10" s="20" t="s">
        <v>132</v>
      </c>
      <c r="EG10" s="20" t="s">
        <v>132</v>
      </c>
      <c r="EH10" s="20"/>
      <c r="EI10" s="26">
        <v>7</v>
      </c>
      <c r="EJ10" s="25" t="str">
        <f ca="1">language!$A$357</f>
        <v>Расход (р.у.)</v>
      </c>
      <c r="EK10" s="25" t="str">
        <f ca="1">language!$A$358</f>
        <v>Скорость газа</v>
      </c>
      <c r="EL10" s="25" t="str">
        <f ca="1">language!$A$359</f>
        <v>Скорость звука</v>
      </c>
      <c r="EM10" s="25" t="s">
        <v>132</v>
      </c>
      <c r="EN10"/>
      <c r="EO10" s="22"/>
      <c r="EP10" s="820"/>
      <c r="EQ10" s="8" t="s">
        <v>402</v>
      </c>
      <c r="ER10" s="41" t="str">
        <f>CONCATENATE($EP$7,EQ10)</f>
        <v>03G400</v>
      </c>
      <c r="ES10" s="42">
        <v>11100</v>
      </c>
      <c r="ET10" s="239" t="s">
        <v>93</v>
      </c>
      <c r="EU10" s="1">
        <v>2400</v>
      </c>
      <c r="EV10" s="72"/>
      <c r="EW10" s="1"/>
      <c r="EX10" s="1">
        <v>7</v>
      </c>
      <c r="EY10" s="1">
        <v>4</v>
      </c>
      <c r="EZ10" s="1"/>
      <c r="FA10" s="1"/>
      <c r="FB10" s="190"/>
      <c r="FC10" s="190"/>
      <c r="FD10" s="190"/>
      <c r="FE10" s="190"/>
      <c r="FF10" s="190"/>
      <c r="FG10" s="190"/>
      <c r="FH10" s="190"/>
      <c r="FI10" s="190"/>
      <c r="FJ10" s="190"/>
      <c r="FK10" s="1"/>
      <c r="FL10" s="1"/>
      <c r="FM10" s="1"/>
      <c r="FN10" s="1"/>
      <c r="FO10" s="1"/>
      <c r="FP10" s="1"/>
    </row>
    <row r="11" spans="1:174" ht="14.25" customHeight="1">
      <c r="A11" s="1"/>
      <c r="B11" s="1"/>
      <c r="C11" s="190"/>
      <c r="D11" s="190"/>
      <c r="E11" s="190"/>
      <c r="F11" s="190"/>
      <c r="G11" s="190"/>
      <c r="H11" s="192" t="s">
        <v>1253</v>
      </c>
      <c r="I11" s="192" t="s">
        <v>98</v>
      </c>
      <c r="J11" s="193">
        <v>400</v>
      </c>
      <c r="K11" s="180">
        <v>120</v>
      </c>
      <c r="L11" s="180">
        <v>14000</v>
      </c>
      <c r="M11" s="180">
        <v>4240</v>
      </c>
      <c r="N11" s="180">
        <v>494000</v>
      </c>
      <c r="O11" s="1"/>
      <c r="P11" s="1"/>
      <c r="Q11" s="1"/>
      <c r="R11" s="1"/>
      <c r="S11" s="1"/>
      <c r="T11" s="207"/>
      <c r="U11" s="1"/>
      <c r="V11" s="1"/>
      <c r="W11" s="1"/>
      <c r="X11" s="1" t="str">
        <f ca="1">language!A83</f>
        <v>H2</v>
      </c>
      <c r="Y11" s="1"/>
      <c r="Z11" s="1"/>
      <c r="AA11" s="1"/>
      <c r="AB11" s="1"/>
      <c r="AC11" s="1"/>
      <c r="AD11" s="1"/>
      <c r="AE11" s="1"/>
      <c r="AF11" s="1"/>
      <c r="AG11" s="1" t="str">
        <f ca="1">language!A108</f>
        <v>и-Пентан (i-C5H12)</v>
      </c>
      <c r="AH11" s="45"/>
      <c r="AI11" s="1"/>
      <c r="AJ11" s="1"/>
      <c r="AK11" s="72"/>
      <c r="AL11" s="72"/>
      <c r="AM11" s="72" t="s">
        <v>1056</v>
      </c>
      <c r="AN11" s="72"/>
      <c r="AO11" s="72" t="s">
        <v>465</v>
      </c>
      <c r="AP11" s="1"/>
      <c r="AQ11" s="1"/>
      <c r="AR11" s="1"/>
      <c r="AS11" s="1"/>
      <c r="AT11" s="1"/>
      <c r="AU11" s="1"/>
      <c r="AV11" s="1"/>
      <c r="AW11" s="286" t="str">
        <f ca="1">IF(LEFT('Page2|Страница 2'!$M$16,4)="ANSI","---",IF(OR(LEFT('Page2|Страница 2'!$M$16,4)="GOST",LEFT('Page2|Страница 2'!$M$16,4)="ГОСТ"),AW38,AW26))</f>
        <v>форма E (EN 1092-1)</v>
      </c>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X11" s="196" t="s">
        <v>1025</v>
      </c>
      <c r="CC11" s="1"/>
      <c r="CD11" s="1"/>
      <c r="CE11" s="1"/>
      <c r="CF11" s="1"/>
      <c r="CG11" s="1"/>
      <c r="CH11" s="1"/>
      <c r="CI11" s="1"/>
      <c r="CJ11" s="1"/>
      <c r="CK11" s="1"/>
      <c r="CL11" s="1"/>
      <c r="CM11" s="1"/>
      <c r="CN11" s="1"/>
      <c r="CO11" s="1"/>
      <c r="CP11" s="1"/>
      <c r="CQ11" s="1"/>
      <c r="CR11" s="1"/>
      <c r="CS11" s="355" t="str">
        <f ca="1">language!A270</f>
        <v>Канада - MSC</v>
      </c>
      <c r="CT11" s="1" t="s">
        <v>229</v>
      </c>
      <c r="CU11" s="45"/>
      <c r="CV11" s="207"/>
      <c r="CX11" s="190"/>
      <c r="CY11" s="1"/>
      <c r="CZ11" s="1"/>
      <c r="DA11" s="1"/>
      <c r="DB11" s="1"/>
      <c r="DC11" s="1"/>
      <c r="DD11" s="1"/>
      <c r="DE11" s="1"/>
      <c r="DF11" s="1"/>
      <c r="DG11" s="1"/>
      <c r="DH11" s="1"/>
      <c r="DI11" s="1"/>
      <c r="DJ11" s="1"/>
      <c r="DK11" s="1"/>
      <c r="DL11" s="1"/>
      <c r="DM11" s="1"/>
      <c r="DN11" s="1"/>
      <c r="DO11" s="1"/>
      <c r="DP11" s="45"/>
      <c r="DQ11" s="45"/>
      <c r="DR11" s="209" t="str">
        <f>language!B63</f>
        <v>Compressibility factor</v>
      </c>
      <c r="DS11" s="209" t="str">
        <f>unittrans!A11</f>
        <v>CF</v>
      </c>
      <c r="DT11" s="209" t="str">
        <f t="shared" si="0"/>
        <v/>
      </c>
      <c r="DU11" s="1"/>
      <c r="DV11" s="1"/>
      <c r="DW11" s="1"/>
      <c r="DX11" s="1"/>
      <c r="DY11" s="1"/>
      <c r="DZ11" s="1"/>
      <c r="EA11" s="19" t="s">
        <v>1253</v>
      </c>
      <c r="EB11" s="20" t="s">
        <v>406</v>
      </c>
      <c r="EC11" s="20" t="s">
        <v>407</v>
      </c>
      <c r="ED11" s="20" t="s">
        <v>410</v>
      </c>
      <c r="EE11" s="20" t="s">
        <v>417</v>
      </c>
      <c r="EF11" s="20" t="s">
        <v>132</v>
      </c>
      <c r="EG11" s="20" t="s">
        <v>132</v>
      </c>
      <c r="EH11" s="20"/>
      <c r="EI11" s="26">
        <v>8</v>
      </c>
      <c r="EJ11" s="271" t="str">
        <f ca="1">language!$A$361</f>
        <v>Подключение Р и Т датчиков</v>
      </c>
      <c r="EK11" s="271" t="s">
        <v>132</v>
      </c>
      <c r="EL11" s="271" t="s">
        <v>132</v>
      </c>
      <c r="EM11" s="271" t="s">
        <v>132</v>
      </c>
      <c r="EN11"/>
      <c r="EO11" s="22"/>
      <c r="EP11" s="818" t="s">
        <v>92</v>
      </c>
      <c r="EQ11" s="241" t="s">
        <v>400</v>
      </c>
      <c r="ER11" s="38" t="str">
        <f>CONCATENATE($EP$11,EQ11)</f>
        <v>04G160</v>
      </c>
      <c r="ES11" s="39">
        <v>28800</v>
      </c>
      <c r="ET11" s="239" t="s">
        <v>94</v>
      </c>
      <c r="EU11" s="1">
        <v>1600</v>
      </c>
      <c r="EV11" s="72"/>
      <c r="EW11" s="1"/>
      <c r="EX11" s="1">
        <v>8</v>
      </c>
      <c r="EY11" s="1">
        <v>5</v>
      </c>
      <c r="EZ11" s="1"/>
      <c r="FA11" s="1"/>
      <c r="FB11" s="190"/>
      <c r="FC11" s="190"/>
      <c r="FD11" s="190"/>
      <c r="FE11" s="190"/>
      <c r="FF11" s="190"/>
      <c r="FG11" s="190"/>
      <c r="FH11" s="190"/>
      <c r="FI11" s="190"/>
      <c r="FJ11" s="190"/>
      <c r="FK11" s="1"/>
      <c r="FL11" s="1"/>
      <c r="FM11" s="1"/>
      <c r="FN11" s="1"/>
      <c r="FO11" s="1"/>
      <c r="FP11" s="1"/>
    </row>
    <row r="12" spans="1:174" ht="14.25" customHeight="1">
      <c r="A12" s="1"/>
      <c r="B12" s="1"/>
      <c r="C12" s="190"/>
      <c r="D12" s="190"/>
      <c r="E12" s="190"/>
      <c r="F12" s="190"/>
      <c r="G12" s="190"/>
      <c r="H12" s="192" t="s">
        <v>1254</v>
      </c>
      <c r="I12" s="192" t="s">
        <v>99</v>
      </c>
      <c r="J12" s="193">
        <v>450</v>
      </c>
      <c r="K12" s="180">
        <v>130</v>
      </c>
      <c r="L12" s="180">
        <v>17000</v>
      </c>
      <c r="M12" s="180">
        <v>4600</v>
      </c>
      <c r="N12" s="180">
        <v>600000</v>
      </c>
      <c r="O12" s="1"/>
      <c r="P12" s="1"/>
      <c r="Q12" s="1"/>
      <c r="R12" s="1"/>
      <c r="S12" s="1"/>
      <c r="T12" s="3" t="s">
        <v>635</v>
      </c>
      <c r="U12" s="1"/>
      <c r="V12" s="1"/>
      <c r="W12" s="1"/>
      <c r="X12" s="1" t="str">
        <f ca="1">language!A84</f>
        <v>Горячий пар</v>
      </c>
      <c r="Y12" s="1"/>
      <c r="Z12" s="1"/>
      <c r="AA12" s="1"/>
      <c r="AB12" s="1"/>
      <c r="AC12" s="1"/>
      <c r="AD12" s="1"/>
      <c r="AE12" s="1"/>
      <c r="AF12" s="1"/>
      <c r="AG12" s="1" t="str">
        <f ca="1">language!A109</f>
        <v>н-Гексан (n-C6H14)</v>
      </c>
      <c r="AH12" s="45"/>
      <c r="AI12" s="1"/>
      <c r="AJ12" s="1"/>
      <c r="AK12" s="72"/>
      <c r="AL12" s="72"/>
      <c r="AM12" s="72" t="s">
        <v>1057</v>
      </c>
      <c r="AN12" s="72"/>
      <c r="AO12" s="72" t="s">
        <v>456</v>
      </c>
      <c r="AP12" s="1"/>
      <c r="AQ12" s="1"/>
      <c r="AR12" s="1"/>
      <c r="AS12" s="1"/>
      <c r="AT12" s="1"/>
      <c r="AU12" s="1"/>
      <c r="AV12" s="1"/>
      <c r="AW12" s="286" t="str">
        <f ca="1">IF(LEFT('Page2|Страница 2'!$M$16,4)="ANSI","---",IF(OR(LEFT('Page2|Страница 2'!$M$16,4)="GOST",LEFT('Page2|Страница 2'!$M$16,4)="ГОСТ"),AW39,AW27))</f>
        <v>форма F (EN 1092-1)</v>
      </c>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96" t="s">
        <v>1026</v>
      </c>
      <c r="CC12" s="1"/>
      <c r="CD12" s="1"/>
      <c r="CE12" s="1"/>
      <c r="CF12" s="1"/>
      <c r="CG12" s="181" t="s">
        <v>224</v>
      </c>
      <c r="CH12" s="1"/>
      <c r="CI12" s="1"/>
      <c r="CJ12" s="1"/>
      <c r="CK12" s="1"/>
      <c r="CL12" s="1"/>
      <c r="CM12" s="1"/>
      <c r="CN12" s="1"/>
      <c r="CO12" s="1"/>
      <c r="CP12" s="1"/>
      <c r="CQ12" s="1"/>
      <c r="CR12" s="1"/>
      <c r="CS12" s="355" t="str">
        <f ca="1">language!A271</f>
        <v>Китай - PRC</v>
      </c>
      <c r="CT12" s="1" t="s">
        <v>229</v>
      </c>
      <c r="CU12" s="45"/>
      <c r="CV12" s="207"/>
      <c r="CW12" s="207"/>
      <c r="CX12" s="190"/>
      <c r="CY12" s="1"/>
      <c r="CZ12" s="1"/>
      <c r="DA12" s="1"/>
      <c r="DB12" s="1"/>
      <c r="DC12" s="1"/>
      <c r="DD12" s="1"/>
      <c r="DE12" s="1"/>
      <c r="DF12" s="1"/>
      <c r="DG12" s="1"/>
      <c r="DH12" s="1"/>
      <c r="DI12" s="1"/>
      <c r="DJ12" s="1"/>
      <c r="DK12" s="1"/>
      <c r="DL12" s="1"/>
      <c r="DM12" s="1"/>
      <c r="DN12" s="1"/>
      <c r="DO12" s="1"/>
      <c r="DP12" s="45"/>
      <c r="DQ12" s="45"/>
      <c r="DR12" s="227" t="str">
        <f>language!B64</f>
        <v>Density(actual condition)</v>
      </c>
      <c r="DS12" s="209" t="str">
        <f>unittrans!A12</f>
        <v>kg/m³</v>
      </c>
      <c r="DT12" s="209" t="str">
        <f t="shared" si="0"/>
        <v/>
      </c>
      <c r="DU12" s="1"/>
      <c r="DV12" s="1"/>
      <c r="DW12" s="1"/>
      <c r="DX12" s="1"/>
      <c r="DY12" s="1"/>
      <c r="DZ12" s="1"/>
      <c r="EA12" s="19" t="s">
        <v>1254</v>
      </c>
      <c r="EB12" s="20" t="s">
        <v>407</v>
      </c>
      <c r="EC12" s="20" t="s">
        <v>410</v>
      </c>
      <c r="ED12" s="20" t="s">
        <v>417</v>
      </c>
      <c r="EE12" s="20" t="s">
        <v>132</v>
      </c>
      <c r="EF12" s="20" t="s">
        <v>132</v>
      </c>
      <c r="EG12" s="20" t="s">
        <v>132</v>
      </c>
      <c r="EH12" s="20"/>
      <c r="EI12" s="26">
        <v>9</v>
      </c>
      <c r="EJ12" s="271" t="str">
        <f ca="1">language!$A$361</f>
        <v>Подключение Р и Т датчиков</v>
      </c>
      <c r="EK12" s="25" t="s">
        <v>132</v>
      </c>
      <c r="EL12" s="25" t="s">
        <v>132</v>
      </c>
      <c r="EM12" s="25" t="s">
        <v>132</v>
      </c>
      <c r="EN12"/>
      <c r="EO12" s="22"/>
      <c r="EP12" s="819"/>
      <c r="EQ12" s="7" t="s">
        <v>401</v>
      </c>
      <c r="ER12" s="32" t="str">
        <f>CONCATENATE($EP$11,EQ12)</f>
        <v>04G250</v>
      </c>
      <c r="ES12" s="40">
        <v>18000</v>
      </c>
      <c r="ET12" s="239" t="s">
        <v>95</v>
      </c>
      <c r="EU12" s="1">
        <v>1029</v>
      </c>
      <c r="EV12" s="1"/>
      <c r="EW12" s="1"/>
      <c r="EX12" s="1">
        <v>9</v>
      </c>
      <c r="EY12" s="1">
        <v>5</v>
      </c>
      <c r="EZ12" s="1"/>
      <c r="FA12" s="1"/>
      <c r="FB12" s="190"/>
      <c r="FC12" s="190"/>
      <c r="FD12" s="190"/>
      <c r="FE12" s="190"/>
      <c r="FF12" s="190"/>
      <c r="FG12" s="190"/>
      <c r="FH12" s="190"/>
      <c r="FI12" s="190"/>
      <c r="FJ12" s="190"/>
      <c r="FK12" s="1"/>
      <c r="FL12" s="1"/>
      <c r="FM12" s="1"/>
      <c r="FN12" s="1"/>
      <c r="FO12" s="1"/>
      <c r="FP12" s="1"/>
    </row>
    <row r="13" spans="1:174" ht="14.25" customHeight="1">
      <c r="A13" s="1"/>
      <c r="B13" s="1"/>
      <c r="C13" s="190"/>
      <c r="D13" s="190"/>
      <c r="E13" s="190"/>
      <c r="F13" s="190"/>
      <c r="G13" s="190"/>
      <c r="H13" s="192" t="s">
        <v>1255</v>
      </c>
      <c r="I13" s="192" t="s">
        <v>100</v>
      </c>
      <c r="J13" s="193">
        <v>500</v>
      </c>
      <c r="K13" s="180">
        <v>200</v>
      </c>
      <c r="L13" s="180">
        <v>20000</v>
      </c>
      <c r="M13" s="180">
        <v>7070</v>
      </c>
      <c r="N13" s="180">
        <v>707000</v>
      </c>
      <c r="O13" s="1"/>
      <c r="P13" s="1"/>
      <c r="Q13" s="1"/>
      <c r="R13" s="1"/>
      <c r="S13" s="1"/>
      <c r="T13" s="207" t="s">
        <v>147</v>
      </c>
      <c r="U13" s="200">
        <f ca="1">IF('Page1|Страница 1'!R68=language!A496,-317,-194)</f>
        <v>-194</v>
      </c>
      <c r="V13" s="1"/>
      <c r="W13" s="1"/>
      <c r="X13" s="1" t="str">
        <f ca="1">language!A85</f>
        <v>N2</v>
      </c>
      <c r="Y13" s="1"/>
      <c r="Z13" s="1"/>
      <c r="AA13" s="1"/>
      <c r="AB13" s="1"/>
      <c r="AC13" s="1"/>
      <c r="AD13" s="1"/>
      <c r="AE13" s="1"/>
      <c r="AF13" s="1"/>
      <c r="AG13" s="1" t="str">
        <f ca="1">language!A110</f>
        <v>н-Гептан (n-C7H16)</v>
      </c>
      <c r="AH13" s="45"/>
      <c r="AI13" s="1"/>
      <c r="AJ13" s="1"/>
      <c r="AK13" s="72"/>
      <c r="AL13" s="72"/>
      <c r="AM13" s="72" t="s">
        <v>1058</v>
      </c>
      <c r="AN13" s="72"/>
      <c r="AO13" s="72" t="s">
        <v>457</v>
      </c>
      <c r="AP13" s="1"/>
      <c r="AQ13" s="1"/>
      <c r="AR13" s="1"/>
      <c r="AS13" s="1"/>
      <c r="AT13" s="1"/>
      <c r="AU13" s="1"/>
      <c r="AV13" s="1"/>
      <c r="AW13" s="287" t="str">
        <f ca="1">IF(LEFT('Page2|Страница 2'!$M$16,4)="ANSI","---",IF(OR(LEFT('Page2|Страница 2'!$M$16,4)="GOST",LEFT('Page2|Страница 2'!$M$16,4)="ГОСТ"),"---",AW28))</f>
        <v>форма G (EN 1092-1)</v>
      </c>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X13" s="196" t="s">
        <v>1024</v>
      </c>
      <c r="CC13" s="1"/>
      <c r="CD13" s="1"/>
      <c r="CE13" s="1"/>
      <c r="CF13" s="1"/>
      <c r="CG13" s="9" t="s">
        <v>345</v>
      </c>
      <c r="CH13" s="1"/>
      <c r="CI13" s="1"/>
      <c r="CJ13" s="1"/>
      <c r="CK13" s="1"/>
      <c r="CL13" s="1"/>
      <c r="CM13" s="1"/>
      <c r="CN13" s="1"/>
      <c r="CO13" s="1"/>
      <c r="CP13" s="1"/>
      <c r="CQ13" s="1"/>
      <c r="CR13" s="1"/>
      <c r="CS13" s="355" t="str">
        <f ca="1">language!A272</f>
        <v>Хорватия</v>
      </c>
      <c r="CT13" s="1" t="s">
        <v>229</v>
      </c>
      <c r="CU13" s="45"/>
      <c r="CV13" s="207"/>
      <c r="CW13" s="207"/>
      <c r="CX13" s="190"/>
      <c r="CY13" s="1"/>
      <c r="CZ13" s="1"/>
      <c r="DA13" s="1"/>
      <c r="DB13" s="1"/>
      <c r="DC13" s="1"/>
      <c r="DD13" s="1"/>
      <c r="DE13" s="1"/>
      <c r="DF13" s="1"/>
      <c r="DG13" s="1"/>
      <c r="DH13" s="1"/>
      <c r="DI13" s="1"/>
      <c r="DJ13" s="1"/>
      <c r="DK13" s="1"/>
      <c r="DL13" s="1"/>
      <c r="DM13" s="1"/>
      <c r="DN13" s="1"/>
      <c r="DO13" s="1"/>
      <c r="DP13" s="45"/>
      <c r="DQ13" s="45"/>
      <c r="DR13" s="227" t="str">
        <f>language!B65</f>
        <v>Molecular weight</v>
      </c>
      <c r="DS13" s="209" t="str">
        <f>unittrans!A13</f>
        <v>g/mol</v>
      </c>
      <c r="DT13" s="209" t="str">
        <f t="shared" si="0"/>
        <v/>
      </c>
      <c r="DU13" s="1"/>
      <c r="DV13" s="1"/>
      <c r="DW13" s="1"/>
      <c r="DX13" s="1"/>
      <c r="DY13" s="1"/>
      <c r="DZ13" s="1"/>
      <c r="EA13" s="19" t="s">
        <v>1255</v>
      </c>
      <c r="EB13" s="20" t="s">
        <v>407</v>
      </c>
      <c r="EC13" s="1" t="s">
        <v>410</v>
      </c>
      <c r="ED13" s="20" t="s">
        <v>408</v>
      </c>
      <c r="EE13" s="20" t="s">
        <v>411</v>
      </c>
      <c r="EF13" s="20" t="s">
        <v>132</v>
      </c>
      <c r="EG13" s="20" t="s">
        <v>132</v>
      </c>
      <c r="EH13" s="20"/>
      <c r="EI13" s="26">
        <v>10</v>
      </c>
      <c r="EJ13" s="271" t="str">
        <f ca="1">language!$A$361</f>
        <v>Подключение Р и Т датчиков</v>
      </c>
      <c r="EK13" s="25" t="s">
        <v>132</v>
      </c>
      <c r="EL13" s="25" t="s">
        <v>132</v>
      </c>
      <c r="EM13" s="25" t="s">
        <v>132</v>
      </c>
      <c r="EN13"/>
      <c r="EO13" s="22"/>
      <c r="EP13" s="819"/>
      <c r="EQ13" s="7" t="s">
        <v>402</v>
      </c>
      <c r="ER13" s="32" t="str">
        <f>CONCATENATE($EP$11,EQ13)</f>
        <v>04G400</v>
      </c>
      <c r="ES13" s="40">
        <v>11100</v>
      </c>
      <c r="ET13" s="239" t="s">
        <v>96</v>
      </c>
      <c r="EU13" s="1">
        <v>900</v>
      </c>
      <c r="EV13" s="1"/>
      <c r="EW13" s="1"/>
      <c r="EX13" s="1">
        <v>10</v>
      </c>
      <c r="EY13" s="1">
        <v>6</v>
      </c>
      <c r="EZ13" s="1"/>
      <c r="FA13" s="1"/>
      <c r="FB13" s="190"/>
      <c r="FC13" s="190"/>
      <c r="FD13" s="190"/>
      <c r="FE13" s="190"/>
      <c r="FF13" s="190"/>
      <c r="FG13" s="190"/>
      <c r="FH13" s="190"/>
      <c r="FI13" s="190"/>
      <c r="FJ13" s="190"/>
      <c r="FK13" s="1"/>
      <c r="FL13" s="1"/>
      <c r="FM13" s="1"/>
      <c r="FN13" s="1"/>
      <c r="FO13" s="1"/>
      <c r="FP13" s="1"/>
    </row>
    <row r="14" spans="1:174" ht="14.25" customHeight="1">
      <c r="A14" s="1"/>
      <c r="B14" s="1"/>
      <c r="C14" s="190"/>
      <c r="D14" s="190"/>
      <c r="E14" s="190"/>
      <c r="F14" s="190"/>
      <c r="G14" s="190"/>
      <c r="H14" s="192" t="s">
        <v>1256</v>
      </c>
      <c r="I14" s="211" t="s">
        <v>0</v>
      </c>
      <c r="J14" s="193">
        <v>550</v>
      </c>
      <c r="K14" s="194">
        <v>260</v>
      </c>
      <c r="L14" s="194">
        <v>26000</v>
      </c>
      <c r="M14" s="194">
        <v>9185</v>
      </c>
      <c r="N14" s="194">
        <v>919000</v>
      </c>
      <c r="O14" s="1"/>
      <c r="P14" s="1"/>
      <c r="Q14" s="1"/>
      <c r="R14" s="1"/>
      <c r="S14" s="1"/>
      <c r="T14" s="212" t="s">
        <v>634</v>
      </c>
      <c r="U14" s="200">
        <f ca="1">IF('Page1|Страница 1'!R68=language!A496,536,280)</f>
        <v>280</v>
      </c>
      <c r="V14" s="1"/>
      <c r="W14" s="1"/>
      <c r="X14" s="1" t="str">
        <f ca="1">language!A86</f>
        <v>Природный газ</v>
      </c>
      <c r="Y14" s="1"/>
      <c r="Z14" s="1"/>
      <c r="AA14" s="1"/>
      <c r="AB14" s="1"/>
      <c r="AC14" s="1"/>
      <c r="AD14" s="1"/>
      <c r="AE14" s="1"/>
      <c r="AF14" s="1"/>
      <c r="AG14" s="1" t="str">
        <f ca="1">language!A111</f>
        <v>н-Октан (n-C8H18)</v>
      </c>
      <c r="AH14" s="45"/>
      <c r="AI14" s="1"/>
      <c r="AJ14" s="1"/>
      <c r="AK14" s="72"/>
      <c r="AL14" s="72"/>
      <c r="AM14" s="72" t="s">
        <v>1059</v>
      </c>
      <c r="AN14" s="72"/>
      <c r="AO14" s="72" t="s">
        <v>458</v>
      </c>
      <c r="AP14" s="1"/>
      <c r="AQ14" s="1"/>
      <c r="AR14" s="1"/>
      <c r="AS14" s="1"/>
      <c r="AT14" s="1"/>
      <c r="AU14" s="1"/>
      <c r="AV14" s="1"/>
      <c r="AW14" s="288" t="str">
        <f ca="1">IF(LEFT('Page2|Страница 2'!$M$16,4)="ANSI","---",IF(OR(LEFT('Page2|Страница 2'!$M$16,4)="GOST",LEFT('Page2|Страница 2'!$M$16,4)="ГОСТ"),"---",AW29))</f>
        <v>форма H (EN 1092-1)</v>
      </c>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CC14" s="1"/>
      <c r="CD14" s="1"/>
      <c r="CE14" s="1"/>
      <c r="CF14" s="1"/>
      <c r="CG14" s="1">
        <v>3.6</v>
      </c>
      <c r="CH14" s="1"/>
      <c r="CI14" s="1"/>
      <c r="CJ14" s="1"/>
      <c r="CK14" s="1"/>
      <c r="CL14" s="1"/>
      <c r="CM14" s="1"/>
      <c r="CN14" s="1"/>
      <c r="CO14" s="1"/>
      <c r="CP14" s="1"/>
      <c r="CQ14" s="1"/>
      <c r="CR14" s="1"/>
      <c r="CS14" s="355" t="str">
        <f ca="1">language!A273</f>
        <v>Чехия - CMI</v>
      </c>
      <c r="CT14" s="1" t="s">
        <v>229</v>
      </c>
      <c r="CU14" s="45"/>
      <c r="CV14" s="207"/>
      <c r="CW14" s="207"/>
      <c r="CX14" s="190"/>
      <c r="CY14" s="1"/>
      <c r="CZ14" s="1"/>
      <c r="DA14" s="1"/>
      <c r="DB14" s="1"/>
      <c r="DC14" s="1"/>
      <c r="DD14" s="1"/>
      <c r="DE14" s="1"/>
      <c r="DF14" s="1"/>
      <c r="DG14" s="1"/>
      <c r="DH14" s="1"/>
      <c r="DI14" s="1"/>
      <c r="DJ14" s="1"/>
      <c r="DK14" s="1"/>
      <c r="DL14" s="1"/>
      <c r="DM14" s="1"/>
      <c r="DN14" s="1"/>
      <c r="DO14" s="1"/>
      <c r="DP14" s="45"/>
      <c r="DQ14" s="45"/>
      <c r="DR14" s="209" t="str">
        <f>language!B69</f>
        <v>Ambient temperature</v>
      </c>
      <c r="DS14" s="209" t="str">
        <f>unittrans!A8</f>
        <v>°C</v>
      </c>
      <c r="DT14" s="209" t="str">
        <f t="shared" si="0"/>
        <v/>
      </c>
      <c r="DU14" s="1"/>
      <c r="DV14" s="1"/>
      <c r="DW14" s="1"/>
      <c r="DX14" s="1"/>
      <c r="DY14" s="1"/>
      <c r="DZ14" s="1"/>
      <c r="EA14" s="213" t="s">
        <v>1256</v>
      </c>
      <c r="EB14" s="1" t="s">
        <v>410</v>
      </c>
      <c r="EC14" s="20" t="s">
        <v>408</v>
      </c>
      <c r="ED14" s="20" t="s">
        <v>409</v>
      </c>
      <c r="EE14" s="20" t="s">
        <v>132</v>
      </c>
      <c r="EF14" s="20" t="s">
        <v>132</v>
      </c>
      <c r="EG14" s="20" t="s">
        <v>132</v>
      </c>
      <c r="EH14" s="20"/>
      <c r="EI14" s="26">
        <v>11</v>
      </c>
      <c r="EJ14" s="271" t="str">
        <f ca="1">language!$A$361</f>
        <v>Подключение Р и Т датчиков</v>
      </c>
      <c r="EK14" s="25" t="s">
        <v>132</v>
      </c>
      <c r="EL14" s="25" t="s">
        <v>132</v>
      </c>
      <c r="EM14" s="25" t="s">
        <v>132</v>
      </c>
      <c r="EN14"/>
      <c r="EO14" s="22"/>
      <c r="EP14" s="820"/>
      <c r="EQ14" s="8" t="s">
        <v>403</v>
      </c>
      <c r="ER14" s="41" t="str">
        <f>CONCATENATE($EP$11,EQ14)</f>
        <v>04G650</v>
      </c>
      <c r="ES14" s="42">
        <v>7200</v>
      </c>
      <c r="ET14" s="239" t="s">
        <v>97</v>
      </c>
      <c r="EU14" s="1">
        <v>720</v>
      </c>
      <c r="EV14" s="1"/>
      <c r="EW14" s="1"/>
      <c r="EX14" s="1">
        <v>11</v>
      </c>
      <c r="EY14" s="1">
        <v>6</v>
      </c>
      <c r="EZ14" s="1"/>
      <c r="FA14" s="1"/>
      <c r="FB14" s="190"/>
      <c r="FC14" s="190"/>
      <c r="FD14" s="190"/>
      <c r="FE14" s="190"/>
      <c r="FF14" s="190"/>
      <c r="FG14" s="190"/>
      <c r="FH14" s="190"/>
      <c r="FI14" s="190"/>
      <c r="FJ14" s="190"/>
      <c r="FK14" s="1"/>
      <c r="FL14" s="1"/>
      <c r="FM14" s="1"/>
      <c r="FN14" s="1"/>
      <c r="FO14" s="1"/>
      <c r="FP14" s="1"/>
    </row>
    <row r="15" spans="1:174" ht="14.25" customHeight="1">
      <c r="A15" s="1"/>
      <c r="B15" s="1"/>
      <c r="C15" s="190"/>
      <c r="D15" s="190"/>
      <c r="E15" s="190"/>
      <c r="F15" s="190"/>
      <c r="G15" s="190"/>
      <c r="H15" s="192" t="s">
        <v>1257</v>
      </c>
      <c r="I15" s="192" t="s">
        <v>101</v>
      </c>
      <c r="J15" s="193">
        <v>600</v>
      </c>
      <c r="K15" s="194">
        <v>320</v>
      </c>
      <c r="L15" s="194">
        <v>32000</v>
      </c>
      <c r="M15" s="194">
        <v>11300</v>
      </c>
      <c r="N15" s="194">
        <v>1131000</v>
      </c>
      <c r="O15" s="1"/>
      <c r="P15" s="1"/>
      <c r="Q15" s="1"/>
      <c r="R15" s="1"/>
      <c r="S15" s="1"/>
      <c r="T15" s="1"/>
      <c r="U15" s="200"/>
      <c r="V15" s="1"/>
      <c r="W15" s="1"/>
      <c r="X15" s="1" t="str">
        <f ca="1">language!A87</f>
        <v>O2</v>
      </c>
      <c r="Y15" s="1"/>
      <c r="Z15" s="1"/>
      <c r="AA15" s="1"/>
      <c r="AB15" s="1"/>
      <c r="AC15" s="1"/>
      <c r="AD15" s="1"/>
      <c r="AE15" s="1"/>
      <c r="AF15" s="1"/>
      <c r="AG15" s="1" t="str">
        <f ca="1">language!A112</f>
        <v>н-Нонан (n-C9H20)</v>
      </c>
      <c r="AH15" s="45"/>
      <c r="AI15" s="1"/>
      <c r="AJ15" s="1"/>
      <c r="AK15" s="72"/>
      <c r="AL15" s="72"/>
      <c r="AN15" s="72"/>
      <c r="AO15" s="72" t="s">
        <v>459</v>
      </c>
      <c r="AP15" s="1"/>
      <c r="AQ15" s="1"/>
      <c r="AR15" s="1"/>
      <c r="AS15" s="1"/>
      <c r="AT15" s="1"/>
      <c r="AU15" s="1"/>
      <c r="AV15" s="1"/>
      <c r="AX15" s="1"/>
      <c r="AY15" s="1"/>
      <c r="AZ15" s="1"/>
      <c r="BA15" s="9" t="s">
        <v>1208</v>
      </c>
      <c r="BB15" s="1"/>
      <c r="BC15" s="1"/>
      <c r="BD15" s="1"/>
      <c r="BE15" s="1"/>
      <c r="BF15" s="1"/>
      <c r="BG15" s="1"/>
      <c r="BH15" s="1"/>
      <c r="BI15" s="1"/>
      <c r="BJ15" s="1"/>
      <c r="BK15" s="1"/>
      <c r="BL15" s="1"/>
      <c r="BM15" s="1"/>
      <c r="BN15" s="1"/>
      <c r="BO15" s="1"/>
      <c r="BP15" s="1"/>
      <c r="BQ15" s="1"/>
      <c r="BR15" s="1"/>
      <c r="BS15" s="1"/>
      <c r="BT15" s="1"/>
      <c r="BU15" s="1"/>
      <c r="BV15" s="1"/>
      <c r="BW15" s="1"/>
      <c r="CC15" s="1"/>
      <c r="CD15" s="1"/>
      <c r="CE15" s="1"/>
      <c r="CF15" s="1"/>
      <c r="CG15" s="1">
        <v>22</v>
      </c>
      <c r="CH15" s="1"/>
      <c r="CI15" s="1"/>
      <c r="CJ15" s="1"/>
      <c r="CK15" s="1"/>
      <c r="CL15" s="1"/>
      <c r="CM15" s="1"/>
      <c r="CN15" s="1"/>
      <c r="CO15" s="1"/>
      <c r="CP15" s="1"/>
      <c r="CQ15" s="1"/>
      <c r="CR15" s="1"/>
      <c r="CS15" s="355" t="str">
        <f ca="1">language!A274</f>
        <v>Дания</v>
      </c>
      <c r="CT15" s="1" t="s">
        <v>229</v>
      </c>
      <c r="CU15" s="45"/>
      <c r="CV15" s="1"/>
      <c r="CW15" s="1"/>
      <c r="CX15" s="1"/>
      <c r="CY15" s="1"/>
      <c r="CZ15" s="1"/>
      <c r="DA15" s="1"/>
      <c r="DB15" s="1"/>
      <c r="DC15" s="1"/>
      <c r="DD15" s="1"/>
      <c r="DE15" s="1"/>
      <c r="DF15" s="1"/>
      <c r="DG15" s="1"/>
      <c r="DH15" s="1"/>
      <c r="DI15" s="1"/>
      <c r="DJ15" s="1"/>
      <c r="DK15" s="1"/>
      <c r="DL15" s="1"/>
      <c r="DM15" s="1"/>
      <c r="DN15" s="1"/>
      <c r="DO15" s="1"/>
      <c r="DP15" s="45"/>
      <c r="DQ15" s="45"/>
      <c r="DR15" s="209" t="str">
        <f>language!B129</f>
        <v>Inner diameter</v>
      </c>
      <c r="DS15" s="209" t="str">
        <f>unittrans!A18</f>
        <v>mm</v>
      </c>
      <c r="DT15" s="209" t="str">
        <f t="shared" si="0"/>
        <v/>
      </c>
      <c r="DU15" s="1"/>
      <c r="DV15" s="1"/>
      <c r="DW15" s="1"/>
      <c r="DX15" s="1"/>
      <c r="DY15" s="1"/>
      <c r="DZ15" s="1"/>
      <c r="EA15" s="19" t="s">
        <v>1257</v>
      </c>
      <c r="EB15" s="1" t="s">
        <v>410</v>
      </c>
      <c r="EC15" s="20" t="s">
        <v>408</v>
      </c>
      <c r="ED15" s="20" t="s">
        <v>409</v>
      </c>
      <c r="EE15" s="20" t="s">
        <v>412</v>
      </c>
      <c r="EF15" s="20" t="s">
        <v>132</v>
      </c>
      <c r="EG15" s="20" t="s">
        <v>132</v>
      </c>
      <c r="EH15" s="20"/>
      <c r="EI15" s="25"/>
      <c r="EJ15" s="25"/>
      <c r="EK15" s="25"/>
      <c r="EL15" s="25"/>
      <c r="EM15" s="25"/>
      <c r="EN15"/>
      <c r="EO15" s="26"/>
      <c r="EP15" s="818" t="s">
        <v>93</v>
      </c>
      <c r="EQ15" s="241" t="s">
        <v>401</v>
      </c>
      <c r="ER15" s="38" t="str">
        <f t="shared" ref="ER15:ER20" si="1">CONCATENATE($EP$15,EQ15)</f>
        <v>06G250</v>
      </c>
      <c r="ES15" s="39">
        <v>18000</v>
      </c>
      <c r="ET15" s="239" t="s">
        <v>98</v>
      </c>
      <c r="EU15" s="1">
        <v>514</v>
      </c>
      <c r="EV15" s="1"/>
      <c r="EW15" s="1"/>
      <c r="EX15" s="1"/>
      <c r="EY15" s="1"/>
      <c r="EZ15" s="1"/>
      <c r="FA15" s="1"/>
      <c r="FB15" s="190"/>
      <c r="FC15" s="190"/>
      <c r="FD15" s="190"/>
      <c r="FE15" s="190"/>
      <c r="FF15" s="190"/>
      <c r="FG15" s="190"/>
      <c r="FH15" s="190"/>
      <c r="FI15" s="190"/>
      <c r="FJ15" s="190"/>
      <c r="FK15" s="1"/>
      <c r="FL15" s="1"/>
      <c r="FM15" s="1"/>
      <c r="FN15" s="1"/>
      <c r="FO15" s="1"/>
      <c r="FP15" s="1"/>
    </row>
    <row r="16" spans="1:174" ht="14.25" customHeight="1">
      <c r="A16" s="1"/>
      <c r="B16" s="1"/>
      <c r="C16" s="190"/>
      <c r="D16" s="190"/>
      <c r="E16" s="190"/>
      <c r="F16" s="190"/>
      <c r="G16" s="190"/>
      <c r="H16" s="192" t="s">
        <v>1258</v>
      </c>
      <c r="I16" s="192" t="s">
        <v>1</v>
      </c>
      <c r="J16" s="193">
        <v>650</v>
      </c>
      <c r="K16" s="194">
        <v>360</v>
      </c>
      <c r="L16" s="194">
        <v>36000</v>
      </c>
      <c r="M16" s="194">
        <v>12700</v>
      </c>
      <c r="N16" s="194">
        <v>1272500</v>
      </c>
      <c r="O16" s="1"/>
      <c r="P16" s="1"/>
      <c r="Q16" s="1"/>
      <c r="R16" s="1"/>
      <c r="S16" s="1"/>
      <c r="T16" s="3" t="s">
        <v>637</v>
      </c>
      <c r="U16" s="72"/>
      <c r="V16" s="1"/>
      <c r="W16" s="1"/>
      <c r="X16" s="1" t="str">
        <f ca="1">language!A88</f>
        <v>Технический газ</v>
      </c>
      <c r="Y16" s="1"/>
      <c r="Z16" s="1"/>
      <c r="AA16" s="1"/>
      <c r="AB16" s="1"/>
      <c r="AC16" s="1"/>
      <c r="AD16" s="1"/>
      <c r="AE16" s="1"/>
      <c r="AF16" s="1"/>
      <c r="AG16" s="1" t="str">
        <f ca="1">language!A113</f>
        <v>н-Декан (n-C10H22)</v>
      </c>
      <c r="AH16" s="45"/>
      <c r="AI16" s="1"/>
      <c r="AJ16" s="1"/>
      <c r="AK16" s="72"/>
      <c r="AL16" s="72"/>
      <c r="AN16" s="72"/>
      <c r="AO16" s="72" t="s">
        <v>460</v>
      </c>
      <c r="AP16" s="1"/>
      <c r="AQ16" s="1"/>
      <c r="AR16" s="1"/>
      <c r="AS16" s="1"/>
      <c r="AT16" s="1"/>
      <c r="AU16" s="1"/>
      <c r="AV16" s="1"/>
      <c r="AW16" s="1" t="str">
        <f ca="1">language!A176</f>
        <v>RF, ANSI B16.5, B16.47</v>
      </c>
      <c r="AX16" s="1"/>
      <c r="AY16" s="1"/>
      <c r="AZ16" s="1"/>
      <c r="BA16" s="1" t="str">
        <f ca="1">language!A211</f>
        <v>Ряд 1</v>
      </c>
      <c r="BB16" s="1"/>
      <c r="BC16" s="1"/>
      <c r="BD16" s="1"/>
      <c r="BE16" s="1"/>
      <c r="BF16" s="1"/>
      <c r="BG16" s="1"/>
      <c r="BH16" s="1"/>
      <c r="BI16" s="1"/>
      <c r="BJ16" s="1"/>
      <c r="BK16" s="1"/>
      <c r="BL16" s="1"/>
      <c r="BM16" s="1"/>
      <c r="BN16" s="1"/>
      <c r="BO16" s="1"/>
      <c r="BP16" s="1"/>
      <c r="BQ16" s="1"/>
      <c r="BR16" s="1"/>
      <c r="BS16" s="1"/>
      <c r="BT16" s="1"/>
      <c r="BU16" s="1"/>
      <c r="BV16" s="1"/>
      <c r="BW16" s="1"/>
      <c r="BX16" s="202" t="str">
        <f>'Page2|Страница 2'!M52</f>
        <v>ГОСТ Р МЭК 60079 IIC T4 (M20x1.5)</v>
      </c>
      <c r="BY16" s="210" t="e">
        <f>VLOOKUP(BX16,BX17:CB26,2,FALSE)</f>
        <v>#N/A</v>
      </c>
      <c r="BZ16" s="210" t="e">
        <f>VLOOKUP(BX16,BX17:CB26,3,FALSE)</f>
        <v>#N/A</v>
      </c>
      <c r="CA16" s="69"/>
      <c r="CB16" s="1"/>
      <c r="CC16" s="1"/>
      <c r="CD16" s="1"/>
      <c r="CE16" s="1"/>
      <c r="CF16" s="1"/>
      <c r="CG16" s="1"/>
      <c r="CH16" s="1"/>
      <c r="CI16" s="1"/>
      <c r="CJ16" s="1"/>
      <c r="CK16" s="1"/>
      <c r="CL16" s="1"/>
      <c r="CM16" s="1"/>
      <c r="CN16" s="1"/>
      <c r="CO16" s="1"/>
      <c r="CP16" s="1"/>
      <c r="CQ16" s="1"/>
      <c r="CR16" s="1"/>
      <c r="CS16" s="355" t="str">
        <f ca="1">language!A275</f>
        <v>Египет</v>
      </c>
      <c r="CT16" s="1" t="s">
        <v>229</v>
      </c>
      <c r="CU16" s="45"/>
      <c r="CV16" s="1"/>
      <c r="CW16" s="1"/>
      <c r="CX16" s="1"/>
      <c r="CY16" s="1"/>
      <c r="CZ16" s="1"/>
      <c r="DA16" s="1"/>
      <c r="DB16" s="1"/>
      <c r="DC16" s="1"/>
      <c r="DD16" s="1"/>
      <c r="DE16" s="1"/>
      <c r="DF16" s="1"/>
      <c r="DG16" s="1"/>
      <c r="DH16" s="1"/>
      <c r="DI16" s="1"/>
      <c r="DJ16" s="1"/>
      <c r="DK16" s="1"/>
      <c r="DL16" s="1"/>
      <c r="DM16" s="1"/>
      <c r="DN16" s="1"/>
      <c r="DO16" s="1"/>
      <c r="DP16" s="45"/>
      <c r="DQ16" s="45"/>
      <c r="DR16" s="209" t="str">
        <f>language!B136</f>
        <v>Min. design temperature</v>
      </c>
      <c r="DS16" s="209" t="str">
        <f>unittrans!A8</f>
        <v>°C</v>
      </c>
      <c r="DT16" s="209" t="str">
        <f t="shared" si="0"/>
        <v/>
      </c>
      <c r="DU16" s="1"/>
      <c r="DV16" s="1"/>
      <c r="DW16" s="1"/>
      <c r="DX16" s="1"/>
      <c r="DY16" s="1"/>
      <c r="DZ16" s="1"/>
      <c r="EA16" s="213" t="s">
        <v>1258</v>
      </c>
      <c r="EB16" s="1" t="s">
        <v>410</v>
      </c>
      <c r="EC16" s="20" t="s">
        <v>408</v>
      </c>
      <c r="ED16" s="20" t="s">
        <v>409</v>
      </c>
      <c r="EE16" s="20" t="s">
        <v>412</v>
      </c>
      <c r="EF16" s="20" t="s">
        <v>132</v>
      </c>
      <c r="EG16" s="20" t="s">
        <v>132</v>
      </c>
      <c r="EH16" s="20"/>
      <c r="EI16" s="21" t="s">
        <v>148</v>
      </c>
      <c r="EJ16" s="25"/>
      <c r="EK16" s="25"/>
      <c r="EL16" s="25"/>
      <c r="EM16" s="25"/>
      <c r="EN16"/>
      <c r="EO16" s="22"/>
      <c r="EP16" s="819"/>
      <c r="EQ16" s="7" t="s">
        <v>402</v>
      </c>
      <c r="ER16" s="32" t="str">
        <f t="shared" si="1"/>
        <v>06G400</v>
      </c>
      <c r="ES16" s="40">
        <v>11100</v>
      </c>
      <c r="ET16" s="239" t="s">
        <v>99</v>
      </c>
      <c r="EU16" s="1">
        <v>424</v>
      </c>
      <c r="EV16" s="1"/>
      <c r="EW16" s="1"/>
      <c r="EX16" s="1"/>
      <c r="EY16" s="1"/>
      <c r="EZ16" s="1"/>
      <c r="FA16" s="1"/>
      <c r="FB16" s="190"/>
      <c r="FC16" s="190"/>
      <c r="FD16" s="190"/>
      <c r="FE16" s="190"/>
      <c r="FF16" s="190"/>
      <c r="FG16" s="190"/>
      <c r="FH16" s="190"/>
      <c r="FI16" s="190"/>
      <c r="FJ16" s="190"/>
      <c r="FK16" s="1"/>
      <c r="FL16" s="1"/>
      <c r="FM16" s="1"/>
      <c r="FN16" s="1"/>
      <c r="FO16" s="1"/>
      <c r="FP16" s="1"/>
    </row>
    <row r="17" spans="1:172" ht="14.25" customHeight="1">
      <c r="A17" s="1"/>
      <c r="B17" s="1"/>
      <c r="C17" s="190"/>
      <c r="D17" s="190"/>
      <c r="E17" s="190"/>
      <c r="F17" s="190"/>
      <c r="G17" s="190"/>
      <c r="H17" s="192" t="s">
        <v>1259</v>
      </c>
      <c r="I17" s="192" t="s">
        <v>102</v>
      </c>
      <c r="J17" s="193">
        <v>700</v>
      </c>
      <c r="K17" s="194">
        <v>400</v>
      </c>
      <c r="L17" s="194">
        <v>40000</v>
      </c>
      <c r="M17" s="194">
        <v>14100</v>
      </c>
      <c r="N17" s="194">
        <v>1414000</v>
      </c>
      <c r="O17" s="1"/>
      <c r="P17" s="1"/>
      <c r="Q17" s="1"/>
      <c r="R17" s="1"/>
      <c r="S17" s="1"/>
      <c r="T17" s="207" t="s">
        <v>147</v>
      </c>
      <c r="U17" s="200">
        <v>-50</v>
      </c>
      <c r="V17" s="1"/>
      <c r="W17" s="1"/>
      <c r="Y17" s="1"/>
      <c r="Z17" s="1"/>
      <c r="AA17" s="1"/>
      <c r="AB17" s="1"/>
      <c r="AC17" s="1"/>
      <c r="AD17" s="1"/>
      <c r="AE17" s="1"/>
      <c r="AF17" s="1"/>
      <c r="AG17" s="1" t="str">
        <f ca="1">language!A114</f>
        <v>Водород (H2)</v>
      </c>
      <c r="AH17" s="45"/>
      <c r="AI17" s="1"/>
      <c r="AJ17" s="1"/>
      <c r="AK17" s="72"/>
      <c r="AL17" s="72"/>
      <c r="AN17" s="72"/>
      <c r="AO17" s="72" t="s">
        <v>461</v>
      </c>
      <c r="AP17" s="1"/>
      <c r="AQ17" s="1"/>
      <c r="AR17" s="1"/>
      <c r="AS17" s="1"/>
      <c r="AT17" s="1"/>
      <c r="AU17" s="1"/>
      <c r="AV17" s="1"/>
      <c r="AW17" s="1" t="str">
        <f ca="1">language!A177</f>
        <v>RTJ, ANSI B16.5, B16.47</v>
      </c>
      <c r="AX17" s="1"/>
      <c r="AY17" s="1"/>
      <c r="AZ17" s="1"/>
      <c r="BA17" s="1" t="str">
        <f ca="1">language!A212</f>
        <v>Ряд 2</v>
      </c>
      <c r="BB17" s="1"/>
      <c r="BC17" s="1"/>
      <c r="BD17" s="1"/>
      <c r="BE17" s="1"/>
      <c r="BF17" s="1"/>
      <c r="BG17" s="1"/>
      <c r="BH17" s="1"/>
      <c r="BI17" s="1"/>
      <c r="BJ17" s="1"/>
      <c r="BK17" s="1"/>
      <c r="BL17" s="1"/>
      <c r="BM17" s="1"/>
      <c r="BN17" s="1"/>
      <c r="BO17" s="1"/>
      <c r="BP17" s="1"/>
      <c r="BQ17" s="1"/>
      <c r="BR17" s="1"/>
      <c r="BS17" s="1"/>
      <c r="BT17" s="1"/>
      <c r="BU17" s="1"/>
      <c r="BV17" s="1"/>
      <c r="BW17" s="72"/>
      <c r="BX17" s="236" t="s">
        <v>398</v>
      </c>
      <c r="BY17" s="69" t="s">
        <v>792</v>
      </c>
      <c r="BZ17" s="69" t="s">
        <v>780</v>
      </c>
      <c r="CA17" s="69" t="s">
        <v>781</v>
      </c>
      <c r="CB17" s="69" t="s">
        <v>782</v>
      </c>
      <c r="CC17" s="1"/>
      <c r="CD17" s="1"/>
      <c r="CE17" s="1"/>
      <c r="CF17" s="1"/>
      <c r="CG17" s="1"/>
      <c r="CH17" s="1"/>
      <c r="CI17" s="1"/>
      <c r="CJ17" s="1"/>
      <c r="CK17" s="1"/>
      <c r="CL17" s="1"/>
      <c r="CM17" s="1"/>
      <c r="CN17" s="1"/>
      <c r="CO17" s="1"/>
      <c r="CP17" s="1"/>
      <c r="CQ17" s="1"/>
      <c r="CR17" s="1"/>
      <c r="CS17" s="355" t="str">
        <f ca="1">language!A276</f>
        <v>Европа - MID</v>
      </c>
      <c r="CT17" s="1" t="s">
        <v>229</v>
      </c>
      <c r="CU17" s="45"/>
      <c r="CV17" s="1"/>
      <c r="CW17" s="1"/>
      <c r="CX17" s="1"/>
      <c r="CY17" s="1"/>
      <c r="CZ17" s="1"/>
      <c r="DA17" s="1"/>
      <c r="DB17" s="1"/>
      <c r="DC17" s="1"/>
      <c r="DD17" s="1"/>
      <c r="DE17" s="1"/>
      <c r="DF17" s="1"/>
      <c r="DG17" s="1"/>
      <c r="DH17" s="1"/>
      <c r="DI17" s="1"/>
      <c r="DJ17" s="1"/>
      <c r="DK17" s="1"/>
      <c r="DL17" s="1"/>
      <c r="DM17" s="1"/>
      <c r="DN17" s="1"/>
      <c r="DO17" s="1"/>
      <c r="DP17" s="45"/>
      <c r="DQ17" s="45"/>
      <c r="DR17" s="209" t="str">
        <f>language!B138</f>
        <v>Design pressure</v>
      </c>
      <c r="DS17" s="209" t="str">
        <f>unittrans!A9</f>
        <v>bar(g)</v>
      </c>
      <c r="DT17" s="209" t="str">
        <f t="shared" si="0"/>
        <v/>
      </c>
      <c r="DU17" s="1"/>
      <c r="DV17" s="1"/>
      <c r="DW17" s="1"/>
      <c r="DX17" s="1"/>
      <c r="DY17" s="1"/>
      <c r="DZ17" s="1"/>
      <c r="EA17" s="213" t="s">
        <v>1259</v>
      </c>
      <c r="EB17" s="1" t="s">
        <v>410</v>
      </c>
      <c r="EC17" s="20" t="s">
        <v>408</v>
      </c>
      <c r="ED17" s="20" t="s">
        <v>409</v>
      </c>
      <c r="EE17" s="20" t="s">
        <v>4</v>
      </c>
      <c r="EF17" s="20" t="s">
        <v>132</v>
      </c>
      <c r="EG17" s="20" t="s">
        <v>132</v>
      </c>
      <c r="EH17" s="20"/>
      <c r="EI17" s="27" t="s">
        <v>419</v>
      </c>
      <c r="EJ17"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7" s="31"/>
      <c r="EL17" s="31"/>
      <c r="EM17" s="31"/>
      <c r="EN17"/>
      <c r="EO17" s="22"/>
      <c r="EP17" s="819"/>
      <c r="EQ17" s="7" t="s">
        <v>403</v>
      </c>
      <c r="ER17" s="32" t="str">
        <f t="shared" si="1"/>
        <v>06G650</v>
      </c>
      <c r="ES17" s="40">
        <v>7200</v>
      </c>
      <c r="ET17" s="239" t="s">
        <v>100</v>
      </c>
      <c r="EU17" s="1">
        <v>360</v>
      </c>
      <c r="EV17" s="1"/>
      <c r="EW17" s="1"/>
      <c r="EX17" s="1"/>
      <c r="EY17" s="1"/>
      <c r="EZ17" s="1"/>
      <c r="FA17" s="1"/>
      <c r="FB17" s="190"/>
      <c r="FC17" s="190"/>
      <c r="FD17" s="190"/>
      <c r="FE17" s="190"/>
      <c r="FF17" s="190"/>
      <c r="FG17" s="190"/>
      <c r="FH17" s="190"/>
      <c r="FI17" s="190"/>
      <c r="FJ17" s="190"/>
      <c r="FK17" s="1"/>
      <c r="FL17" s="1"/>
      <c r="FM17" s="1"/>
      <c r="FN17" s="1"/>
      <c r="FO17" s="1"/>
      <c r="FP17" s="1"/>
    </row>
    <row r="18" spans="1:172" ht="14.25" customHeight="1">
      <c r="A18" s="1"/>
      <c r="B18" s="1"/>
      <c r="C18" s="190"/>
      <c r="D18" s="190"/>
      <c r="E18" s="190"/>
      <c r="F18" s="190"/>
      <c r="G18" s="190"/>
      <c r="H18" s="192" t="s">
        <v>1260</v>
      </c>
      <c r="I18" s="192" t="s">
        <v>103</v>
      </c>
      <c r="J18" s="193">
        <v>750</v>
      </c>
      <c r="K18" s="194">
        <v>400</v>
      </c>
      <c r="L18" s="194">
        <v>45000</v>
      </c>
      <c r="M18" s="194">
        <v>14100</v>
      </c>
      <c r="N18" s="194">
        <v>1590000</v>
      </c>
      <c r="O18" s="1"/>
      <c r="P18" s="1"/>
      <c r="Q18" s="1"/>
      <c r="R18" s="1"/>
      <c r="S18" s="1"/>
      <c r="T18" s="212" t="s">
        <v>634</v>
      </c>
      <c r="U18" s="200">
        <f ca="1">IF('Page1|Страница 1'!R86=language!A496,158,70)</f>
        <v>70</v>
      </c>
      <c r="V18" s="1"/>
      <c r="W18" s="1"/>
      <c r="Y18" s="1"/>
      <c r="Z18" s="1"/>
      <c r="AA18" s="1"/>
      <c r="AB18" s="1"/>
      <c r="AC18" s="1"/>
      <c r="AD18" s="1"/>
      <c r="AE18" s="1"/>
      <c r="AF18" s="1"/>
      <c r="AG18" s="1" t="str">
        <f ca="1">language!A115</f>
        <v>Кислород (O2)</v>
      </c>
      <c r="AH18" s="45"/>
      <c r="AI18" s="1"/>
      <c r="AJ18" s="1"/>
      <c r="AK18" s="72"/>
      <c r="AL18" s="72"/>
      <c r="AN18" s="72"/>
      <c r="AO18" s="72" t="s">
        <v>462</v>
      </c>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72"/>
      <c r="BX18" s="236" t="s">
        <v>783</v>
      </c>
      <c r="BY18" s="69" t="s">
        <v>793</v>
      </c>
      <c r="BZ18" s="69" t="s">
        <v>780</v>
      </c>
      <c r="CA18" s="69" t="s">
        <v>781</v>
      </c>
      <c r="CB18" s="69" t="s">
        <v>782</v>
      </c>
      <c r="CC18" s="1"/>
      <c r="CD18" s="1"/>
      <c r="CE18" s="1"/>
      <c r="CF18" s="1"/>
      <c r="CG18" s="1"/>
      <c r="CH18" s="1"/>
      <c r="CI18" s="1"/>
      <c r="CJ18"/>
      <c r="CK18"/>
      <c r="CL18" s="1"/>
      <c r="CM18" s="1"/>
      <c r="CN18" s="1"/>
      <c r="CO18" s="1"/>
      <c r="CP18" s="1"/>
      <c r="CQ18" s="1"/>
      <c r="CR18" s="1"/>
      <c r="CS18" s="355" t="str">
        <f ca="1">language!A277</f>
        <v>Германия - PTB</v>
      </c>
      <c r="CT18" s="1" t="s">
        <v>229</v>
      </c>
      <c r="CU18" s="45"/>
      <c r="CV18" s="1"/>
      <c r="CW18" s="1"/>
      <c r="CX18" s="1"/>
      <c r="CY18" s="1"/>
      <c r="CZ18" s="1"/>
      <c r="DA18" s="1"/>
      <c r="DB18" s="1"/>
      <c r="DC18" s="1"/>
      <c r="DD18" s="1"/>
      <c r="DE18" s="1"/>
      <c r="DF18" s="1"/>
      <c r="DG18" s="1"/>
      <c r="DH18" s="1"/>
      <c r="DI18" s="1"/>
      <c r="DJ18" s="1"/>
      <c r="DK18" s="1"/>
      <c r="DL18" s="1"/>
      <c r="DM18" s="1"/>
      <c r="DN18" s="1"/>
      <c r="DO18" s="1"/>
      <c r="DP18" s="45"/>
      <c r="DQ18" s="45"/>
      <c r="DR18" s="209" t="str">
        <f>language!B146</f>
        <v>Leakage test pressure</v>
      </c>
      <c r="DS18" s="228" t="str">
        <f>unittrans!A19</f>
        <v>bar(g)</v>
      </c>
      <c r="DT18" s="209" t="str">
        <f t="shared" si="0"/>
        <v/>
      </c>
      <c r="DU18" s="1"/>
      <c r="DV18" s="1"/>
      <c r="DW18" s="1"/>
      <c r="DX18" s="1"/>
      <c r="DY18" s="1"/>
      <c r="DZ18" s="1"/>
      <c r="EA18" s="213" t="s">
        <v>1260</v>
      </c>
      <c r="EB18" s="1" t="s">
        <v>410</v>
      </c>
      <c r="EC18" s="20" t="s">
        <v>408</v>
      </c>
      <c r="ED18" s="20" t="s">
        <v>409</v>
      </c>
      <c r="EE18" s="20" t="s">
        <v>4</v>
      </c>
      <c r="EF18" s="20" t="s">
        <v>132</v>
      </c>
      <c r="EG18" s="20" t="s">
        <v>132</v>
      </c>
      <c r="EH18" s="20"/>
      <c r="EI18" s="23" t="s">
        <v>420</v>
      </c>
      <c r="EJ18" s="24" t="e">
        <f>VLOOKUP($EJ$3,$EI19:$EM28,2,FALSE)</f>
        <v>#N/A</v>
      </c>
      <c r="EK18" s="24" t="e">
        <f>VLOOKUP($EJ$3,$EI19:$EM28,3,FALSE)</f>
        <v>#N/A</v>
      </c>
      <c r="EL18" s="24" t="e">
        <f>VLOOKUP($EJ$3,$EI19:$EM28,4,FALSE)</f>
        <v>#N/A</v>
      </c>
      <c r="EM18" s="24" t="e">
        <f>VLOOKUP($EJ$3,$EI19:$EM28,5,FALSE)</f>
        <v>#N/A</v>
      </c>
      <c r="EN18"/>
      <c r="EO18" s="22"/>
      <c r="EP18" s="819"/>
      <c r="EQ18" s="7" t="s">
        <v>404</v>
      </c>
      <c r="ER18" s="32" t="str">
        <f t="shared" si="1"/>
        <v>06G1000</v>
      </c>
      <c r="ES18" s="40">
        <v>4500</v>
      </c>
      <c r="ET18" s="239" t="s">
        <v>0</v>
      </c>
      <c r="EU18" s="1">
        <v>277</v>
      </c>
      <c r="EV18" s="1"/>
      <c r="EW18" s="1"/>
      <c r="EX18" s="1"/>
      <c r="EY18" s="1"/>
      <c r="EZ18" s="1"/>
      <c r="FA18" s="1"/>
      <c r="FB18" s="190"/>
      <c r="FC18" s="190"/>
      <c r="FD18" s="190"/>
      <c r="FE18" s="190"/>
      <c r="FF18" s="190"/>
      <c r="FG18" s="190"/>
      <c r="FH18" s="190"/>
      <c r="FI18" s="190"/>
      <c r="FJ18" s="190"/>
      <c r="FK18" s="1"/>
      <c r="FL18" s="1"/>
      <c r="FM18" s="1"/>
      <c r="FN18" s="1"/>
      <c r="FO18" s="1"/>
      <c r="FP18" s="1"/>
    </row>
    <row r="19" spans="1:172" ht="14.25" customHeight="1">
      <c r="A19" s="1"/>
      <c r="B19" s="1"/>
      <c r="C19" s="190"/>
      <c r="D19" s="190"/>
      <c r="E19" s="190"/>
      <c r="F19" s="190"/>
      <c r="G19" s="190"/>
      <c r="H19" s="214" t="s">
        <v>1261</v>
      </c>
      <c r="I19" s="215" t="s">
        <v>104</v>
      </c>
      <c r="J19" s="193">
        <v>800</v>
      </c>
      <c r="K19" s="194">
        <v>400</v>
      </c>
      <c r="L19" s="194">
        <v>50000</v>
      </c>
      <c r="M19" s="194">
        <v>14100</v>
      </c>
      <c r="N19" s="194">
        <v>1767000</v>
      </c>
      <c r="O19" s="1"/>
      <c r="P19" s="1"/>
      <c r="Q19" s="1"/>
      <c r="R19" s="1"/>
      <c r="S19" s="1"/>
      <c r="T19" s="1"/>
      <c r="U19" s="72"/>
      <c r="V19" s="1"/>
      <c r="W19" s="1"/>
      <c r="X19" s="1"/>
      <c r="Y19" s="1"/>
      <c r="Z19" s="1"/>
      <c r="AA19" s="1"/>
      <c r="AB19" s="1"/>
      <c r="AC19" s="1"/>
      <c r="AD19" s="1"/>
      <c r="AE19" s="1"/>
      <c r="AF19" s="1"/>
      <c r="AG19" s="1" t="str">
        <f ca="1">language!A116</f>
        <v>Моноокс. Угл. (CO)</v>
      </c>
      <c r="AH19" s="45"/>
      <c r="AI19" s="1"/>
      <c r="AJ19" s="1"/>
      <c r="AK19" s="72"/>
      <c r="AL19" s="72"/>
      <c r="AN19" s="72"/>
      <c r="AO19" s="72" t="s">
        <v>463</v>
      </c>
      <c r="AP19" s="1"/>
      <c r="AQ19" s="1"/>
      <c r="AR19" s="1"/>
      <c r="AS19" s="1"/>
      <c r="AT19" s="1"/>
      <c r="AU19" s="1"/>
      <c r="AV19" s="1"/>
      <c r="AW19" s="1" t="str">
        <f ca="1">language!A178</f>
        <v>форма С (DIN 2526)</v>
      </c>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72"/>
      <c r="BX19" s="236" t="s">
        <v>397</v>
      </c>
      <c r="BY19" s="69" t="s">
        <v>792</v>
      </c>
      <c r="BZ19" s="69" t="s">
        <v>784</v>
      </c>
      <c r="CA19" s="69" t="s">
        <v>785</v>
      </c>
      <c r="CB19" s="69" t="s">
        <v>786</v>
      </c>
      <c r="CC19" s="1"/>
      <c r="CD19" s="1"/>
      <c r="CE19" s="1"/>
      <c r="CF19" s="1"/>
      <c r="CG19" s="1"/>
      <c r="CH19" s="1"/>
      <c r="CI19" s="1"/>
      <c r="CJ19"/>
      <c r="CK19"/>
      <c r="CL19" s="1"/>
      <c r="CM19" s="1"/>
      <c r="CN19" s="1"/>
      <c r="CO19" s="1"/>
      <c r="CP19" s="1"/>
      <c r="CQ19" s="1"/>
      <c r="CR19" s="1"/>
      <c r="CS19" s="355" t="str">
        <f ca="1">language!A278</f>
        <v>Индонезия - MIG</v>
      </c>
      <c r="CT19" s="1" t="s">
        <v>229</v>
      </c>
      <c r="CU19" s="45"/>
      <c r="CV19" s="1"/>
      <c r="CW19" s="1"/>
      <c r="CX19" s="1"/>
      <c r="CY19" s="1"/>
      <c r="CZ19" s="1"/>
      <c r="DA19" s="1"/>
      <c r="DB19" s="1"/>
      <c r="DC19" s="1"/>
      <c r="DD19" s="1"/>
      <c r="DE19" s="1"/>
      <c r="DF19" s="1"/>
      <c r="DG19" s="1"/>
      <c r="DH19" s="1"/>
      <c r="DI19" s="1"/>
      <c r="DJ19" s="1"/>
      <c r="DK19" s="1"/>
      <c r="DL19" s="1"/>
      <c r="DM19" s="1"/>
      <c r="DN19" s="1"/>
      <c r="DO19" s="1"/>
      <c r="DP19" s="45"/>
      <c r="DQ19" s="45"/>
      <c r="DR19" s="209" t="str">
        <f>language!B147</f>
        <v>Holding time</v>
      </c>
      <c r="DS19" s="209" t="str">
        <f>unittrans!A14</f>
        <v>min</v>
      </c>
      <c r="DT19" s="209" t="str">
        <f t="shared" si="0"/>
        <v/>
      </c>
      <c r="DU19" s="1"/>
      <c r="DV19" s="1"/>
      <c r="DW19" s="1"/>
      <c r="DX19" s="1"/>
      <c r="DY19" s="1"/>
      <c r="DZ19" s="1"/>
      <c r="EA19" s="216" t="s">
        <v>1261</v>
      </c>
      <c r="EB19" s="20" t="s">
        <v>408</v>
      </c>
      <c r="EC19" s="20" t="s">
        <v>409</v>
      </c>
      <c r="ED19" s="20" t="s">
        <v>4</v>
      </c>
      <c r="EE19" s="20" t="s">
        <v>132</v>
      </c>
      <c r="EF19" s="20" t="s">
        <v>132</v>
      </c>
      <c r="EG19" s="20" t="s">
        <v>132</v>
      </c>
      <c r="EH19" s="20"/>
      <c r="EI19" s="26">
        <v>1</v>
      </c>
      <c r="EJ19" s="25" t="s">
        <v>1071</v>
      </c>
      <c r="EK19" s="25" t="s">
        <v>1072</v>
      </c>
      <c r="EL19" s="25" t="s">
        <v>1073</v>
      </c>
      <c r="EM19" s="25" t="s">
        <v>1074</v>
      </c>
      <c r="EN19"/>
      <c r="EO19" s="26"/>
      <c r="EP19" s="819"/>
      <c r="EQ19" s="7" t="s">
        <v>413</v>
      </c>
      <c r="ER19" s="32" t="str">
        <f t="shared" si="1"/>
        <v>06G1000E</v>
      </c>
      <c r="ES19" s="40">
        <v>3272</v>
      </c>
      <c r="ET19" s="239" t="s">
        <v>101</v>
      </c>
      <c r="EU19" s="1">
        <v>225</v>
      </c>
      <c r="EV19" s="1"/>
      <c r="EW19" s="1"/>
      <c r="EX19" s="1"/>
      <c r="EY19" s="1"/>
      <c r="EZ19" s="1"/>
      <c r="FA19" s="1"/>
      <c r="FB19" s="190"/>
      <c r="FC19" s="190"/>
      <c r="FD19" s="190"/>
      <c r="FE19" s="190"/>
      <c r="FF19" s="190"/>
      <c r="FG19" s="190"/>
      <c r="FH19" s="190"/>
      <c r="FI19" s="190"/>
      <c r="FJ19" s="190"/>
      <c r="FK19" s="1"/>
      <c r="FL19" s="1"/>
      <c r="FM19" s="1"/>
      <c r="FN19" s="1"/>
      <c r="FO19" s="1"/>
      <c r="FP19" s="1"/>
    </row>
    <row r="20" spans="1:172" ht="14.25" customHeight="1">
      <c r="A20" s="1"/>
      <c r="B20" s="1"/>
      <c r="C20" s="190"/>
      <c r="D20" s="190"/>
      <c r="E20" s="190"/>
      <c r="F20" s="190"/>
      <c r="G20" s="190"/>
      <c r="H20" s="214" t="s">
        <v>1262</v>
      </c>
      <c r="I20" s="215" t="s">
        <v>2</v>
      </c>
      <c r="J20" s="193">
        <v>850</v>
      </c>
      <c r="K20" s="194">
        <v>525</v>
      </c>
      <c r="L20" s="194">
        <v>58000</v>
      </c>
      <c r="M20" s="194">
        <v>18550</v>
      </c>
      <c r="N20" s="194">
        <v>2050000</v>
      </c>
      <c r="O20" s="1"/>
      <c r="P20" s="1"/>
      <c r="Q20" s="1"/>
      <c r="R20" s="1"/>
      <c r="S20" s="1"/>
      <c r="T20" s="3" t="s">
        <v>636</v>
      </c>
      <c r="U20" s="200"/>
      <c r="V20" s="1"/>
      <c r="W20" s="1"/>
      <c r="X20" s="1"/>
      <c r="Y20" s="1"/>
      <c r="Z20" s="1"/>
      <c r="AA20" s="1"/>
      <c r="AB20" s="1"/>
      <c r="AC20" s="1"/>
      <c r="AD20" s="1"/>
      <c r="AE20" s="1"/>
      <c r="AF20" s="1"/>
      <c r="AG20" s="1" t="str">
        <f ca="1">language!A117</f>
        <v>Вода (H2O)</v>
      </c>
      <c r="AH20" s="45"/>
      <c r="AI20" s="1"/>
      <c r="AJ20" s="1"/>
      <c r="AK20" s="72"/>
      <c r="AL20" s="72"/>
      <c r="AN20" s="72"/>
      <c r="AO20" s="72" t="s">
        <v>464</v>
      </c>
      <c r="AP20" s="1"/>
      <c r="AQ20" s="1"/>
      <c r="AR20" s="1"/>
      <c r="AS20" s="1"/>
      <c r="AT20" s="1"/>
      <c r="AU20" s="1"/>
      <c r="AV20" s="1"/>
      <c r="AW20" s="1" t="str">
        <f ca="1">language!A179</f>
        <v>форма Е (DIN 2526)</v>
      </c>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72"/>
      <c r="BX20" s="236" t="s">
        <v>787</v>
      </c>
      <c r="BY20" s="69" t="s">
        <v>793</v>
      </c>
      <c r="BZ20" s="69" t="s">
        <v>784</v>
      </c>
      <c r="CA20" s="69" t="s">
        <v>785</v>
      </c>
      <c r="CB20" s="69" t="s">
        <v>786</v>
      </c>
      <c r="CC20" s="1"/>
      <c r="CD20" s="1"/>
      <c r="CE20" s="1"/>
      <c r="CF20" s="1"/>
      <c r="CG20" s="1"/>
      <c r="CH20" s="1"/>
      <c r="CI20" s="1"/>
      <c r="CJ20"/>
      <c r="CK20"/>
      <c r="CL20" s="1"/>
      <c r="CM20" s="1"/>
      <c r="CN20" s="1"/>
      <c r="CO20" s="1"/>
      <c r="CP20" s="1"/>
      <c r="CQ20" s="1"/>
      <c r="CR20" s="1"/>
      <c r="CS20" s="355" t="str">
        <f ca="1">language!A279</f>
        <v>Италия</v>
      </c>
      <c r="CT20" s="1"/>
      <c r="CU20" s="45"/>
      <c r="CV20" s="1"/>
      <c r="CW20" s="1"/>
      <c r="CX20" s="1"/>
      <c r="CY20" s="1"/>
      <c r="CZ20" s="1"/>
      <c r="DA20" s="1"/>
      <c r="DB20" s="1"/>
      <c r="DC20" s="1"/>
      <c r="DD20" s="1"/>
      <c r="DE20" s="1"/>
      <c r="DF20" s="1"/>
      <c r="DG20" s="1"/>
      <c r="DH20" s="1"/>
      <c r="DI20" s="1"/>
      <c r="DJ20" s="1"/>
      <c r="DK20" s="1"/>
      <c r="DL20" s="1"/>
      <c r="DM20" s="1"/>
      <c r="DN20" s="1"/>
      <c r="DO20" s="1"/>
      <c r="DP20" s="45"/>
      <c r="DQ20" s="45"/>
      <c r="DR20" s="209" t="str">
        <f>language!B150</f>
        <v>Test pressure</v>
      </c>
      <c r="DS20" s="209" t="str">
        <f>unittrans!A9</f>
        <v>bar(g)</v>
      </c>
      <c r="DT20" s="209" t="str">
        <f t="shared" si="0"/>
        <v/>
      </c>
      <c r="DU20" s="1"/>
      <c r="DV20" s="1"/>
      <c r="DW20" s="1"/>
      <c r="DX20" s="1"/>
      <c r="DY20" s="1"/>
      <c r="DZ20" s="1"/>
      <c r="EA20" s="216" t="s">
        <v>1262</v>
      </c>
      <c r="EB20" s="20" t="s">
        <v>409</v>
      </c>
      <c r="EC20" s="20" t="s">
        <v>4</v>
      </c>
      <c r="ED20" s="20" t="s">
        <v>5</v>
      </c>
      <c r="EE20" s="20" t="s">
        <v>132</v>
      </c>
      <c r="EF20" s="20" t="s">
        <v>132</v>
      </c>
      <c r="EG20" s="20" t="s">
        <v>132</v>
      </c>
      <c r="EH20" s="20"/>
      <c r="EI20" s="26">
        <v>2</v>
      </c>
      <c r="EJ20" s="25" t="s">
        <v>1071</v>
      </c>
      <c r="EK20" s="25" t="s">
        <v>1072</v>
      </c>
      <c r="EL20" s="25" t="s">
        <v>1073</v>
      </c>
      <c r="EM20" s="25" t="s">
        <v>1074</v>
      </c>
      <c r="EN20"/>
      <c r="EO20" s="26"/>
      <c r="EP20" s="820"/>
      <c r="EQ20" s="8" t="s">
        <v>405</v>
      </c>
      <c r="ER20" s="41" t="str">
        <f t="shared" si="1"/>
        <v>06G1600</v>
      </c>
      <c r="ES20" s="42">
        <v>2880</v>
      </c>
      <c r="ET20" s="240" t="s">
        <v>1</v>
      </c>
      <c r="EU20" s="1">
        <v>200</v>
      </c>
      <c r="EV20" s="1"/>
      <c r="EW20" s="1"/>
      <c r="EX20" s="1"/>
      <c r="EY20" s="1"/>
      <c r="EZ20" s="1"/>
      <c r="FA20" s="1"/>
      <c r="FB20" s="190"/>
      <c r="FC20" s="190"/>
      <c r="FD20" s="190"/>
      <c r="FE20" s="190"/>
      <c r="FF20" s="190"/>
      <c r="FG20" s="190"/>
      <c r="FH20" s="190"/>
      <c r="FI20" s="190"/>
      <c r="FJ20" s="190"/>
      <c r="FK20" s="1"/>
      <c r="FL20" s="1"/>
      <c r="FM20" s="1"/>
      <c r="FN20" s="1"/>
      <c r="FO20" s="1"/>
      <c r="FP20" s="1"/>
    </row>
    <row r="21" spans="1:172" ht="51">
      <c r="A21" s="1"/>
      <c r="B21" s="1"/>
      <c r="C21" s="190"/>
      <c r="D21" s="190"/>
      <c r="E21" s="190"/>
      <c r="F21" s="190"/>
      <c r="G21" s="190"/>
      <c r="H21" s="192" t="s">
        <v>1263</v>
      </c>
      <c r="I21" s="192" t="s">
        <v>105</v>
      </c>
      <c r="J21" s="193">
        <v>900</v>
      </c>
      <c r="K21" s="194">
        <v>650</v>
      </c>
      <c r="L21" s="194">
        <v>66000</v>
      </c>
      <c r="M21" s="194">
        <v>23000</v>
      </c>
      <c r="N21" s="194">
        <v>2333000</v>
      </c>
      <c r="O21" s="1"/>
      <c r="P21" s="1"/>
      <c r="Q21" s="1"/>
      <c r="R21" s="1"/>
      <c r="S21" s="1"/>
      <c r="T21" s="207" t="s">
        <v>147</v>
      </c>
      <c r="U21" s="200">
        <v>0</v>
      </c>
      <c r="V21" s="1"/>
      <c r="W21" s="1"/>
      <c r="X21" s="1"/>
      <c r="Y21" s="1"/>
      <c r="Z21" s="1"/>
      <c r="AA21" s="1"/>
      <c r="AB21" s="1"/>
      <c r="AC21" s="1"/>
      <c r="AD21" s="1"/>
      <c r="AE21" s="1"/>
      <c r="AF21" s="1"/>
      <c r="AG21" s="1" t="str">
        <f ca="1">language!A118</f>
        <v>Сероводород (H2S)</v>
      </c>
      <c r="AH21" s="45"/>
      <c r="AI21" s="1"/>
      <c r="AJ21" s="1"/>
      <c r="AK21" s="72"/>
      <c r="AL21" s="72"/>
      <c r="AM21" s="72"/>
      <c r="AN21" s="72"/>
      <c r="AO21" s="282" t="str">
        <f ca="1">language!A190</f>
        <v>ГОСТ 12821-80: Pу06</v>
      </c>
      <c r="AP21" s="1"/>
      <c r="AQ21" s="1"/>
      <c r="AR21" s="1"/>
      <c r="AS21" s="1"/>
      <c r="AT21" s="1"/>
      <c r="AU21" s="1"/>
      <c r="AV21" s="1"/>
      <c r="AW21" s="1" t="str">
        <f ca="1">language!A180</f>
        <v>форма A (EN 1092-1)</v>
      </c>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72"/>
      <c r="BX21" s="276" t="s">
        <v>395</v>
      </c>
      <c r="BY21" s="275" t="s">
        <v>793</v>
      </c>
      <c r="BZ21" s="69" t="s">
        <v>788</v>
      </c>
      <c r="CA21" s="69" t="s">
        <v>781</v>
      </c>
      <c r="CB21" s="69" t="s">
        <v>789</v>
      </c>
      <c r="CC21" s="1"/>
      <c r="CD21" s="1"/>
      <c r="CE21" s="1"/>
      <c r="CF21" s="1"/>
      <c r="CG21" s="1"/>
      <c r="CH21" s="1"/>
      <c r="CI21" s="1"/>
      <c r="CJ21"/>
      <c r="CK21"/>
      <c r="CL21" s="1"/>
      <c r="CM21" s="1"/>
      <c r="CN21" s="1"/>
      <c r="CO21" s="1"/>
      <c r="CP21" s="1"/>
      <c r="CQ21" s="1"/>
      <c r="CR21" s="1"/>
      <c r="CS21" s="355" t="str">
        <f ca="1">language!A280</f>
        <v>Малайзия - SIR</v>
      </c>
      <c r="CT21" s="1"/>
      <c r="CU21" s="1"/>
      <c r="CV21" s="1"/>
      <c r="CW21" s="1"/>
      <c r="CX21" s="1"/>
      <c r="CY21" s="1"/>
      <c r="CZ21" s="1"/>
      <c r="DA21" s="1"/>
      <c r="DB21" s="1"/>
      <c r="DC21" s="1"/>
      <c r="DD21" s="1"/>
      <c r="DE21" s="1"/>
      <c r="DF21" s="1"/>
      <c r="DG21" s="1"/>
      <c r="DH21" s="1"/>
      <c r="DI21" s="1"/>
      <c r="DJ21" s="1"/>
      <c r="DK21" s="1"/>
      <c r="DL21" s="1"/>
      <c r="DM21" s="1"/>
      <c r="DN21" s="1"/>
      <c r="DO21" s="1"/>
      <c r="DP21" s="45"/>
      <c r="DQ21" s="45"/>
      <c r="DR21" s="209" t="str">
        <f>language!B164</f>
        <v>Flow rate min.</v>
      </c>
      <c r="DS21" s="209" t="str">
        <f>unittrans!A5</f>
        <v>m³/h</v>
      </c>
      <c r="DT21" s="209" t="str">
        <f t="shared" si="0"/>
        <v/>
      </c>
      <c r="DU21" s="1"/>
      <c r="DV21" s="1"/>
      <c r="DW21" s="1"/>
      <c r="DX21" s="1"/>
      <c r="DY21" s="1"/>
      <c r="DZ21" s="1"/>
      <c r="EA21" s="213" t="s">
        <v>1263</v>
      </c>
      <c r="EB21" s="20" t="s">
        <v>409</v>
      </c>
      <c r="EC21" s="20" t="s">
        <v>4</v>
      </c>
      <c r="ED21" s="20" t="s">
        <v>5</v>
      </c>
      <c r="EE21" s="20" t="s">
        <v>132</v>
      </c>
      <c r="EF21" s="20" t="s">
        <v>132</v>
      </c>
      <c r="EG21" s="20" t="s">
        <v>132</v>
      </c>
      <c r="EH21" s="20"/>
      <c r="EI21" s="26">
        <v>3</v>
      </c>
      <c r="EJ21" s="25" t="s">
        <v>1071</v>
      </c>
      <c r="EK21" s="25" t="s">
        <v>1072</v>
      </c>
      <c r="EL21" s="25" t="s">
        <v>1073</v>
      </c>
      <c r="EM21" s="25" t="s">
        <v>1074</v>
      </c>
      <c r="EN21"/>
      <c r="EO21" s="22"/>
      <c r="EP21" s="818" t="s">
        <v>94</v>
      </c>
      <c r="EQ21" s="241" t="s">
        <v>402</v>
      </c>
      <c r="ER21" s="38" t="str">
        <f t="shared" ref="ER21:ER26" si="2">CONCATENATE($EP$21,EQ21)</f>
        <v>08G400</v>
      </c>
      <c r="ES21" s="39">
        <v>11100</v>
      </c>
      <c r="ET21" s="240" t="s">
        <v>102</v>
      </c>
      <c r="EU21" s="1">
        <v>180</v>
      </c>
      <c r="EV21" s="1"/>
      <c r="EW21" s="1"/>
      <c r="EX21" s="1"/>
      <c r="EY21" s="1"/>
      <c r="EZ21" s="1"/>
      <c r="FA21" s="1"/>
      <c r="FB21" s="190"/>
      <c r="FC21" s="190"/>
      <c r="FD21" s="190"/>
      <c r="FE21" s="190"/>
      <c r="FF21" s="190"/>
      <c r="FG21" s="190"/>
      <c r="FH21" s="190"/>
      <c r="FI21" s="190"/>
      <c r="FJ21" s="190"/>
      <c r="FK21" s="1"/>
      <c r="FL21" s="1"/>
      <c r="FM21" s="1"/>
      <c r="FN21" s="1"/>
      <c r="FO21" s="1"/>
      <c r="FP21" s="1"/>
    </row>
    <row r="22" spans="1:172" ht="13.5" customHeight="1">
      <c r="A22" s="1"/>
      <c r="B22" s="1"/>
      <c r="C22" s="190"/>
      <c r="D22" s="190"/>
      <c r="E22" s="190"/>
      <c r="F22" s="190"/>
      <c r="G22" s="190"/>
      <c r="H22" s="192" t="s">
        <v>1264</v>
      </c>
      <c r="I22" s="211" t="s">
        <v>3</v>
      </c>
      <c r="J22" s="217">
        <v>950</v>
      </c>
      <c r="K22" s="194">
        <v>650</v>
      </c>
      <c r="L22" s="194">
        <v>73000</v>
      </c>
      <c r="M22" s="194">
        <v>23000</v>
      </c>
      <c r="N22" s="194">
        <v>2580500</v>
      </c>
      <c r="O22" s="1"/>
      <c r="P22" s="1"/>
      <c r="Q22" s="1"/>
      <c r="R22" s="1"/>
      <c r="S22" s="1"/>
      <c r="T22" s="207" t="s">
        <v>634</v>
      </c>
      <c r="U22" s="200">
        <f ca="1">IF('Page1|Страница 1'!R70=language!A500,6500,450)</f>
        <v>450</v>
      </c>
      <c r="V22" s="1"/>
      <c r="W22" s="1"/>
      <c r="X22" s="1"/>
      <c r="Y22" s="1"/>
      <c r="Z22" s="1"/>
      <c r="AA22" s="1"/>
      <c r="AB22" s="1"/>
      <c r="AC22" s="1"/>
      <c r="AD22" s="1"/>
      <c r="AE22" s="1"/>
      <c r="AF22" s="1"/>
      <c r="AG22" s="1" t="str">
        <f ca="1">language!A119</f>
        <v>Гелий (He)</v>
      </c>
      <c r="AH22" s="45"/>
      <c r="AI22" s="1"/>
      <c r="AJ22" s="1"/>
      <c r="AK22" s="72"/>
      <c r="AL22" s="72"/>
      <c r="AM22" s="72"/>
      <c r="AN22" s="72"/>
      <c r="AO22" s="282" t="str">
        <f ca="1">language!A191</f>
        <v>ГОСТ 12821-80: Pу10</v>
      </c>
      <c r="AP22" s="1"/>
      <c r="AQ22" s="1"/>
      <c r="AR22" s="1"/>
      <c r="AS22" s="1"/>
      <c r="AT22" s="1"/>
      <c r="AU22" s="1"/>
      <c r="AV22" s="1"/>
      <c r="AW22" s="1" t="str">
        <f ca="1">language!A181</f>
        <v>форма В1 (EN 1092-1)</v>
      </c>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72"/>
      <c r="BX22" s="276" t="s">
        <v>396</v>
      </c>
      <c r="BY22" s="275" t="s">
        <v>793</v>
      </c>
      <c r="BZ22" s="69" t="s">
        <v>790</v>
      </c>
      <c r="CA22" s="69" t="s">
        <v>785</v>
      </c>
      <c r="CB22" s="69" t="s">
        <v>791</v>
      </c>
      <c r="CC22" s="1"/>
      <c r="CD22" s="1"/>
      <c r="CE22" s="1"/>
      <c r="CF22" s="1"/>
      <c r="CG22" s="1"/>
      <c r="CH22" s="1"/>
      <c r="CI22" s="1"/>
      <c r="CJ22"/>
      <c r="CK22"/>
      <c r="CL22" s="1"/>
      <c r="CM22" s="1"/>
      <c r="CN22" s="1"/>
      <c r="CO22" s="1"/>
      <c r="CP22" s="1"/>
      <c r="CQ22" s="1"/>
      <c r="CR22" s="1"/>
      <c r="CS22" s="355" t="str">
        <f ca="1">language!A281</f>
        <v>Нидерланды - NMI</v>
      </c>
      <c r="CT22" s="1"/>
      <c r="CU22" s="1"/>
      <c r="CV22" s="1"/>
      <c r="CW22" s="1"/>
      <c r="CX22" s="1"/>
      <c r="CY22" s="1"/>
      <c r="CZ22" s="1"/>
      <c r="DA22" s="1"/>
      <c r="DB22" s="1"/>
      <c r="DC22" s="1"/>
      <c r="DD22" s="1"/>
      <c r="DE22" s="1"/>
      <c r="DF22" s="1"/>
      <c r="DG22" s="1"/>
      <c r="DH22" s="1"/>
      <c r="DI22" s="1"/>
      <c r="DJ22" s="1"/>
      <c r="DK22" s="1"/>
      <c r="DL22" s="1"/>
      <c r="DM22" s="1"/>
      <c r="DN22" s="1"/>
      <c r="DO22" s="1"/>
      <c r="DP22" s="45"/>
      <c r="DQ22" s="45"/>
      <c r="DR22" s="209" t="str">
        <f>language!B294</f>
        <v>Meter factor</v>
      </c>
      <c r="DS22" s="209" t="str">
        <f>unittrans!A15</f>
        <v>1/m³</v>
      </c>
      <c r="DT22" s="209" t="str">
        <f t="shared" si="0"/>
        <v/>
      </c>
      <c r="DU22" s="1"/>
      <c r="DV22" s="1"/>
      <c r="DW22" s="1"/>
      <c r="DX22" s="1"/>
      <c r="DY22" s="1"/>
      <c r="DZ22" s="1"/>
      <c r="EA22" s="213" t="s">
        <v>1264</v>
      </c>
      <c r="EB22" s="20" t="s">
        <v>409</v>
      </c>
      <c r="EC22" s="20" t="s">
        <v>4</v>
      </c>
      <c r="ED22" s="20" t="s">
        <v>5</v>
      </c>
      <c r="EE22" s="20" t="s">
        <v>132</v>
      </c>
      <c r="EF22" s="20" t="s">
        <v>132</v>
      </c>
      <c r="EG22" s="20" t="s">
        <v>132</v>
      </c>
      <c r="EH22" s="20"/>
      <c r="EI22" s="26">
        <v>4</v>
      </c>
      <c r="EJ22" s="25" t="s">
        <v>1071</v>
      </c>
      <c r="EK22" s="25" t="s">
        <v>1072</v>
      </c>
      <c r="EL22" s="25" t="s">
        <v>1073</v>
      </c>
      <c r="EM22" s="25" t="s">
        <v>1074</v>
      </c>
      <c r="EN22"/>
      <c r="EO22" s="22"/>
      <c r="EP22" s="819"/>
      <c r="EQ22" s="7" t="s">
        <v>403</v>
      </c>
      <c r="ER22" s="32" t="str">
        <f t="shared" si="2"/>
        <v>08G650</v>
      </c>
      <c r="ES22" s="40">
        <v>7200</v>
      </c>
      <c r="ET22" s="240" t="s">
        <v>103</v>
      </c>
      <c r="EU22" s="1">
        <v>160</v>
      </c>
      <c r="EV22" s="1"/>
      <c r="EW22" s="1"/>
      <c r="EX22" s="1"/>
      <c r="EY22" s="1"/>
      <c r="EZ22" s="1"/>
      <c r="FA22" s="1"/>
      <c r="FB22" s="190"/>
      <c r="FC22" s="190"/>
      <c r="FD22" s="190"/>
      <c r="FE22" s="190"/>
      <c r="FF22" s="190"/>
      <c r="FG22" s="190"/>
      <c r="FH22" s="190"/>
      <c r="FI22" s="190"/>
      <c r="FJ22" s="190"/>
      <c r="FK22" s="1"/>
      <c r="FL22" s="1"/>
      <c r="FM22" s="1"/>
      <c r="FN22" s="1"/>
      <c r="FO22" s="1"/>
      <c r="FP22" s="1"/>
    </row>
    <row r="23" spans="1:172" ht="13.5" customHeight="1">
      <c r="A23" s="1"/>
      <c r="B23" s="1"/>
      <c r="C23" s="190"/>
      <c r="D23" s="190"/>
      <c r="E23" s="190"/>
      <c r="F23" s="190"/>
      <c r="G23" s="190"/>
      <c r="H23" s="192" t="s">
        <v>1265</v>
      </c>
      <c r="I23" s="192" t="s">
        <v>106</v>
      </c>
      <c r="J23" s="193">
        <v>1000</v>
      </c>
      <c r="K23" s="194">
        <v>650</v>
      </c>
      <c r="L23" s="194">
        <v>80000</v>
      </c>
      <c r="M23" s="194">
        <v>23000</v>
      </c>
      <c r="N23" s="194">
        <v>2828000</v>
      </c>
      <c r="O23" s="1"/>
      <c r="P23" s="1"/>
      <c r="Q23" s="1"/>
      <c r="R23" s="1"/>
      <c r="S23" s="1"/>
      <c r="T23" s="1"/>
      <c r="U23" s="1"/>
      <c r="V23" s="1"/>
      <c r="W23" s="1"/>
      <c r="X23" s="1"/>
      <c r="Y23" s="1"/>
      <c r="Z23" s="1"/>
      <c r="AA23" s="1"/>
      <c r="AB23" s="1"/>
      <c r="AC23" s="1"/>
      <c r="AD23" s="1"/>
      <c r="AE23" s="1"/>
      <c r="AF23" s="1"/>
      <c r="AG23" s="1" t="str">
        <f ca="1">language!A120</f>
        <v>Аргон (Ar)</v>
      </c>
      <c r="AH23" s="45"/>
      <c r="AI23" s="1"/>
      <c r="AJ23" s="1"/>
      <c r="AK23" s="72"/>
      <c r="AL23" s="72"/>
      <c r="AM23" s="72"/>
      <c r="AN23" s="72"/>
      <c r="AO23" s="283" t="str">
        <f ca="1">language!A192</f>
        <v>ГОСТ 12821-80: Pу16</v>
      </c>
      <c r="AP23" s="1"/>
      <c r="AQ23" s="1"/>
      <c r="AR23" s="1"/>
      <c r="AS23" s="1"/>
      <c r="AT23" s="1"/>
      <c r="AU23" s="1"/>
      <c r="AV23" s="1"/>
      <c r="AW23" s="1" t="str">
        <f ca="1">language!A182</f>
        <v>форма В2 (EN 1092-1)</v>
      </c>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72"/>
      <c r="BX23" s="72" t="s">
        <v>1027</v>
      </c>
      <c r="BY23" s="275" t="s">
        <v>793</v>
      </c>
      <c r="BZ23" s="238" t="s">
        <v>1091</v>
      </c>
      <c r="CA23" s="1"/>
      <c r="CB23" s="1"/>
      <c r="CC23" s="1"/>
      <c r="CD23" s="1"/>
      <c r="CE23" s="1"/>
      <c r="CF23" s="1"/>
      <c r="CG23" s="1"/>
      <c r="CH23" s="1"/>
      <c r="CI23" s="1"/>
      <c r="CJ23" s="1"/>
      <c r="CK23" s="1"/>
      <c r="CL23" s="1"/>
      <c r="CM23" s="1"/>
      <c r="CN23" s="1"/>
      <c r="CO23" s="1"/>
      <c r="CP23" s="1"/>
      <c r="CQ23" s="1"/>
      <c r="CR23" s="1"/>
      <c r="CS23" s="355" t="str">
        <f ca="1">language!A282</f>
        <v>Норвегия</v>
      </c>
      <c r="CT23" s="1"/>
      <c r="CU23" s="1"/>
      <c r="CV23" s="1"/>
      <c r="CW23" s="1"/>
      <c r="CX23" s="1"/>
      <c r="CY23" s="1"/>
      <c r="CZ23" s="1"/>
      <c r="DA23" s="1"/>
      <c r="DB23" s="1"/>
      <c r="DC23" s="1"/>
      <c r="DD23" s="1"/>
      <c r="DE23" s="1"/>
      <c r="DF23" s="1"/>
      <c r="DG23" s="1"/>
      <c r="DH23" s="1"/>
      <c r="DI23" s="1"/>
      <c r="DJ23" s="1"/>
      <c r="DK23" s="1"/>
      <c r="DL23" s="1"/>
      <c r="DM23" s="1"/>
      <c r="DN23" s="1"/>
      <c r="DO23" s="1"/>
      <c r="DP23" s="45"/>
      <c r="DQ23" s="45"/>
      <c r="DR23" s="209" t="str">
        <f>unittrans!A16</f>
        <v>mA</v>
      </c>
      <c r="DS23" s="209" t="str">
        <f>unittrans!A16</f>
        <v>mA</v>
      </c>
      <c r="DT23" s="209" t="str">
        <f t="shared" si="0"/>
        <v/>
      </c>
      <c r="DU23" s="1"/>
      <c r="DV23" s="1"/>
      <c r="DW23" s="1"/>
      <c r="DX23" s="1"/>
      <c r="DY23" s="1"/>
      <c r="DZ23" s="1"/>
      <c r="EA23" s="213" t="s">
        <v>1265</v>
      </c>
      <c r="EB23" s="20" t="s">
        <v>409</v>
      </c>
      <c r="EC23" s="20" t="s">
        <v>4</v>
      </c>
      <c r="ED23" s="20" t="s">
        <v>5</v>
      </c>
      <c r="EE23" s="20" t="s">
        <v>132</v>
      </c>
      <c r="EF23" s="20" t="s">
        <v>132</v>
      </c>
      <c r="EG23" s="20" t="s">
        <v>132</v>
      </c>
      <c r="EH23" s="20"/>
      <c r="EI23" s="26">
        <v>5</v>
      </c>
      <c r="EJ23" s="25" t="s">
        <v>1071</v>
      </c>
      <c r="EK23" s="25" t="s">
        <v>1072</v>
      </c>
      <c r="EL23" s="25" t="s">
        <v>1073</v>
      </c>
      <c r="EM23" s="25" t="s">
        <v>1074</v>
      </c>
      <c r="EN23"/>
      <c r="EO23" s="22"/>
      <c r="EP23" s="819"/>
      <c r="EQ23" s="7" t="s">
        <v>404</v>
      </c>
      <c r="ER23" s="32" t="str">
        <f t="shared" si="2"/>
        <v>08G1000</v>
      </c>
      <c r="ES23" s="40">
        <v>4500</v>
      </c>
      <c r="ET23" s="240" t="s">
        <v>104</v>
      </c>
      <c r="EU23" s="1">
        <v>144</v>
      </c>
      <c r="EV23" s="1"/>
      <c r="EW23" s="1"/>
      <c r="EX23" s="1"/>
      <c r="EY23" s="1"/>
      <c r="EZ23" s="1"/>
      <c r="FA23" s="1"/>
      <c r="FB23" s="1"/>
      <c r="FC23" s="1"/>
      <c r="FD23" s="1"/>
      <c r="FE23" s="1"/>
      <c r="FF23" s="1"/>
      <c r="FG23" s="1"/>
      <c r="FH23" s="1"/>
      <c r="FI23" s="1"/>
      <c r="FJ23" s="1"/>
      <c r="FK23" s="1"/>
      <c r="FL23" s="1"/>
      <c r="FM23" s="1"/>
      <c r="FN23" s="1"/>
      <c r="FO23" s="1"/>
      <c r="FP23" s="1"/>
    </row>
    <row r="24" spans="1:172" ht="14.25" customHeight="1">
      <c r="A24" s="1"/>
      <c r="B24" s="1"/>
      <c r="C24" s="190"/>
      <c r="D24" s="190"/>
      <c r="E24" s="190"/>
      <c r="F24" s="190"/>
      <c r="G24" s="190"/>
      <c r="H24" s="192" t="s">
        <v>1266</v>
      </c>
      <c r="I24" s="192" t="s">
        <v>984</v>
      </c>
      <c r="J24" s="193">
        <v>1050</v>
      </c>
      <c r="K24" s="194">
        <v>1300</v>
      </c>
      <c r="L24" s="194">
        <v>85000</v>
      </c>
      <c r="M24" s="194">
        <v>46000</v>
      </c>
      <c r="N24" s="194">
        <v>3004000</v>
      </c>
      <c r="O24" s="1"/>
      <c r="P24" s="1"/>
      <c r="Q24" s="1"/>
      <c r="R24" s="1"/>
      <c r="S24" s="1"/>
      <c r="T24" s="1"/>
      <c r="U24" s="1"/>
      <c r="V24" s="1"/>
      <c r="W24" s="1"/>
      <c r="X24" s="1"/>
      <c r="Y24" s="1"/>
      <c r="Z24" s="1"/>
      <c r="AA24" s="1"/>
      <c r="AB24" s="1"/>
      <c r="AC24" s="1"/>
      <c r="AD24" s="1"/>
      <c r="AE24" s="1"/>
      <c r="AF24" s="1"/>
      <c r="AG24" s="1"/>
      <c r="AH24" s="1"/>
      <c r="AI24" s="1"/>
      <c r="AJ24" s="1"/>
      <c r="AK24" s="72"/>
      <c r="AL24" s="72"/>
      <c r="AM24" s="72"/>
      <c r="AN24" s="72"/>
      <c r="AO24" s="283" t="str">
        <f ca="1">language!A193</f>
        <v>ГОСТ 12821-80: Pу25</v>
      </c>
      <c r="AP24" s="1"/>
      <c r="AQ24" s="1"/>
      <c r="AR24" s="1"/>
      <c r="AS24" s="1"/>
      <c r="AT24" s="1"/>
      <c r="AU24" s="1"/>
      <c r="AV24" s="1"/>
      <c r="AW24" s="1" t="str">
        <f ca="1">language!A183</f>
        <v>форма C (EN 1092-1)</v>
      </c>
      <c r="AX24" s="1"/>
      <c r="AY24" s="1"/>
      <c r="AZ24" s="1"/>
      <c r="BA24" s="1"/>
      <c r="BB24" s="1"/>
      <c r="BC24" s="1"/>
      <c r="BD24" s="1"/>
      <c r="BE24" s="1"/>
      <c r="BF24" s="1"/>
      <c r="BG24" s="1"/>
      <c r="BH24" s="1"/>
      <c r="BI24" s="1"/>
      <c r="BJ24" s="1"/>
      <c r="BK24" s="1"/>
      <c r="BL24" s="1"/>
      <c r="BM24" s="1"/>
      <c r="BN24" s="1"/>
      <c r="BO24" s="1"/>
      <c r="BP24" s="1"/>
      <c r="BQ24" s="238"/>
      <c r="BR24" s="1"/>
      <c r="BS24" s="1"/>
      <c r="BT24" s="1"/>
      <c r="BU24" s="1"/>
      <c r="BV24" s="1"/>
      <c r="BW24" s="1"/>
      <c r="BX24" s="72" t="s">
        <v>1025</v>
      </c>
      <c r="BY24" s="275" t="s">
        <v>793</v>
      </c>
      <c r="BZ24" s="238" t="s">
        <v>1092</v>
      </c>
      <c r="CA24" s="1"/>
      <c r="CB24" s="1"/>
      <c r="CC24" s="1"/>
      <c r="CD24" s="1"/>
      <c r="CE24" s="1"/>
      <c r="CF24" s="1"/>
      <c r="CG24" s="1"/>
      <c r="CH24" s="1"/>
      <c r="CI24" s="1"/>
      <c r="CJ24" s="1"/>
      <c r="CK24" s="1"/>
      <c r="CL24" s="1"/>
      <c r="CM24" s="1"/>
      <c r="CN24" s="1"/>
      <c r="CO24" s="1"/>
      <c r="CP24" s="1"/>
      <c r="CQ24" s="1"/>
      <c r="CR24" s="1"/>
      <c r="CS24" s="355" t="str">
        <f ca="1">language!A283</f>
        <v>Оман</v>
      </c>
      <c r="CT24" s="1"/>
      <c r="CU24" s="1"/>
      <c r="CV24" s="1"/>
      <c r="CW24" s="1"/>
      <c r="CX24" s="1"/>
      <c r="CY24" s="1"/>
      <c r="CZ24" s="1"/>
      <c r="DA24" s="1"/>
      <c r="DB24" s="1"/>
      <c r="DC24" s="1"/>
      <c r="DD24" s="1"/>
      <c r="DE24" s="1"/>
      <c r="DF24" s="1"/>
      <c r="DG24" s="1"/>
      <c r="DH24" s="1"/>
      <c r="DI24" s="1"/>
      <c r="DJ24" s="1"/>
      <c r="DK24" s="1"/>
      <c r="DL24" s="1"/>
      <c r="DM24" s="1"/>
      <c r="DN24" s="1"/>
      <c r="DO24" s="1"/>
      <c r="DP24" s="45"/>
      <c r="DQ24" s="45"/>
      <c r="DR24" s="209" t="str">
        <f ca="1">language!A308</f>
        <v>Сигнал тревоги</v>
      </c>
      <c r="DS24" s="209" t="str">
        <f>unittrans!A16</f>
        <v>mA</v>
      </c>
      <c r="DT24" s="209" t="str">
        <f t="shared" si="0"/>
        <v/>
      </c>
      <c r="DU24" s="1"/>
      <c r="DV24" s="1"/>
      <c r="DW24" s="1"/>
      <c r="DX24" s="1"/>
      <c r="DY24" s="1"/>
      <c r="DZ24" s="1"/>
      <c r="EA24" s="1"/>
      <c r="EB24" s="1"/>
      <c r="EC24" s="1"/>
      <c r="ED24" s="1"/>
      <c r="EE24" s="1"/>
      <c r="EF24" s="1"/>
      <c r="EG24" s="1"/>
      <c r="EH24" s="1"/>
      <c r="EI24" s="26">
        <v>7</v>
      </c>
      <c r="EJ24" s="25" t="s">
        <v>1071</v>
      </c>
      <c r="EK24" s="25" t="s">
        <v>1072</v>
      </c>
      <c r="EL24" s="25" t="s">
        <v>1073</v>
      </c>
      <c r="EM24" s="25" t="s">
        <v>1074</v>
      </c>
      <c r="EN24"/>
      <c r="EO24" s="22"/>
      <c r="EP24" s="819"/>
      <c r="EQ24" s="7" t="s">
        <v>405</v>
      </c>
      <c r="ER24" s="32" t="str">
        <f t="shared" si="2"/>
        <v>08G1600</v>
      </c>
      <c r="ES24" s="40">
        <v>2880</v>
      </c>
      <c r="ET24" s="240" t="s">
        <v>2</v>
      </c>
      <c r="EU24" s="1">
        <v>124</v>
      </c>
      <c r="EV24" s="1"/>
      <c r="EW24" s="1"/>
      <c r="EX24" s="1"/>
      <c r="EY24" s="1"/>
      <c r="EZ24" s="1"/>
      <c r="FA24" s="1"/>
      <c r="FB24" s="1"/>
      <c r="FC24" s="1"/>
      <c r="FD24" s="1"/>
      <c r="FE24" s="1"/>
      <c r="FF24" s="1"/>
      <c r="FG24" s="1"/>
      <c r="FH24" s="1"/>
      <c r="FI24" s="1"/>
      <c r="FJ24" s="1"/>
      <c r="FK24" s="1"/>
      <c r="FL24" s="1"/>
      <c r="FM24" s="1"/>
      <c r="FN24" s="1"/>
      <c r="FO24" s="1"/>
      <c r="FP24" s="1"/>
    </row>
    <row r="25" spans="1:172" ht="14.25" customHeight="1">
      <c r="A25" s="1"/>
      <c r="B25" s="1"/>
      <c r="C25" s="190"/>
      <c r="D25" s="190"/>
      <c r="E25" s="190"/>
      <c r="F25" s="190"/>
      <c r="G25" s="190"/>
      <c r="H25" s="192" t="s">
        <v>1267</v>
      </c>
      <c r="I25" s="192" t="s">
        <v>985</v>
      </c>
      <c r="J25" s="193">
        <v>1100</v>
      </c>
      <c r="K25" s="194">
        <v>1400</v>
      </c>
      <c r="L25" s="194">
        <v>90000</v>
      </c>
      <c r="M25" s="194">
        <v>49500</v>
      </c>
      <c r="N25" s="194">
        <v>3181000</v>
      </c>
      <c r="O25" s="1"/>
      <c r="P25" s="1"/>
      <c r="Q25" s="1"/>
      <c r="R25" s="1"/>
      <c r="S25" s="1"/>
      <c r="T25" s="1"/>
      <c r="U25" s="1"/>
      <c r="V25" s="1"/>
      <c r="W25" s="1"/>
      <c r="X25"/>
      <c r="Y25"/>
      <c r="Z25" s="1"/>
      <c r="AA25" s="1"/>
      <c r="AB25" s="1"/>
      <c r="AC25" s="1"/>
      <c r="AD25" s="1"/>
      <c r="AE25" s="1"/>
      <c r="AF25" s="1"/>
      <c r="AG25" s="1"/>
      <c r="AH25" s="1"/>
      <c r="AI25" s="1"/>
      <c r="AJ25" s="1"/>
      <c r="AK25" s="1"/>
      <c r="AL25" s="1"/>
      <c r="AM25" s="1"/>
      <c r="AN25" s="1"/>
      <c r="AO25" s="283" t="str">
        <f ca="1">language!A194</f>
        <v>ГОСТ 12821-80: Pу40</v>
      </c>
      <c r="AP25" s="1"/>
      <c r="AQ25" s="1"/>
      <c r="AR25" s="1"/>
      <c r="AS25" s="1"/>
      <c r="AT25" s="1"/>
      <c r="AU25" s="1"/>
      <c r="AV25" s="1"/>
      <c r="AW25" s="1" t="str">
        <f ca="1">language!A184</f>
        <v>форма D (EN 1092-1)</v>
      </c>
      <c r="AX25" s="1"/>
      <c r="AY25" s="1"/>
      <c r="AZ25" s="1"/>
      <c r="BA25" s="1"/>
      <c r="BB25" s="1"/>
      <c r="BC25" s="1"/>
      <c r="BD25" s="1"/>
      <c r="BE25" s="1"/>
      <c r="BF25" s="1"/>
      <c r="BG25" s="1"/>
      <c r="BH25" s="1"/>
      <c r="BI25" s="1"/>
      <c r="BJ25" s="1"/>
      <c r="BK25" s="1"/>
      <c r="BL25" s="1"/>
      <c r="BM25" s="1"/>
      <c r="BN25" s="1"/>
      <c r="BO25" s="1"/>
      <c r="BP25" s="1"/>
      <c r="BQ25" s="238"/>
      <c r="BR25" s="1"/>
      <c r="BS25" s="1"/>
      <c r="BT25" s="1"/>
      <c r="BU25" s="1"/>
      <c r="BV25" s="1"/>
      <c r="BW25" s="1"/>
      <c r="BX25" s="72" t="s">
        <v>1026</v>
      </c>
      <c r="BY25" s="69" t="s">
        <v>792</v>
      </c>
      <c r="BZ25" s="238" t="s">
        <v>1091</v>
      </c>
      <c r="CA25" s="1"/>
      <c r="CB25" s="1"/>
      <c r="CC25" s="1"/>
      <c r="CD25" s="1"/>
      <c r="CE25" s="1"/>
      <c r="CF25" s="1"/>
      <c r="CG25" s="1"/>
      <c r="CH25" s="1"/>
      <c r="CI25" s="1"/>
      <c r="CJ25" s="1"/>
      <c r="CK25" s="1"/>
      <c r="CL25" s="1"/>
      <c r="CM25" s="1"/>
      <c r="CN25" s="1"/>
      <c r="CO25" s="1"/>
      <c r="CP25" s="1"/>
      <c r="CQ25" s="1"/>
      <c r="CR25" s="1"/>
      <c r="CS25" s="355" t="str">
        <f ca="1">language!A284</f>
        <v>Румыния - BRM</v>
      </c>
      <c r="CT25" s="1"/>
      <c r="CU25" s="1"/>
      <c r="CV25" s="1"/>
      <c r="CW25" s="1"/>
      <c r="CX25" s="1"/>
      <c r="CY25" s="1"/>
      <c r="CZ25" s="1"/>
      <c r="DA25" s="1"/>
      <c r="DB25" s="1"/>
      <c r="DC25" s="1"/>
      <c r="DD25" s="1"/>
      <c r="DE25" s="1"/>
      <c r="DF25" s="1"/>
      <c r="DG25" s="1"/>
      <c r="DH25" s="1"/>
      <c r="DI25" s="1"/>
      <c r="DJ25" s="1"/>
      <c r="DK25" s="1"/>
      <c r="DL25" s="1"/>
      <c r="DM25" s="1"/>
      <c r="DN25" s="1"/>
      <c r="DO25" s="1"/>
      <c r="DP25" s="45"/>
      <c r="DQ25" s="45"/>
      <c r="DR25" s="209" t="s">
        <v>287</v>
      </c>
      <c r="DS25" s="209" t="s">
        <v>299</v>
      </c>
      <c r="DT25" s="209" t="str">
        <f t="shared" si="0"/>
        <v/>
      </c>
      <c r="DU25" s="1"/>
      <c r="DV25" s="1"/>
      <c r="DW25" s="1"/>
      <c r="DX25" s="1"/>
      <c r="DY25" s="1"/>
      <c r="DZ25" s="1"/>
      <c r="EA25" s="1"/>
      <c r="EB25" s="1"/>
      <c r="EC25" s="1"/>
      <c r="ED25" s="1"/>
      <c r="EE25" s="1"/>
      <c r="EF25" s="1"/>
      <c r="EG25" s="1"/>
      <c r="EH25" s="1"/>
      <c r="EI25" s="34">
        <v>8</v>
      </c>
      <c r="EJ25" s="25" t="s">
        <v>1071</v>
      </c>
      <c r="EK25" s="25" t="s">
        <v>1072</v>
      </c>
      <c r="EL25" s="25" t="s">
        <v>1073</v>
      </c>
      <c r="EM25" s="25" t="s">
        <v>1074</v>
      </c>
      <c r="EN25"/>
      <c r="EO25" s="22"/>
      <c r="EP25" s="819"/>
      <c r="EQ25" s="7" t="s">
        <v>414</v>
      </c>
      <c r="ER25" s="32" t="str">
        <f t="shared" si="2"/>
        <v>08G1600E</v>
      </c>
      <c r="ES25" s="40">
        <v>2000</v>
      </c>
      <c r="ET25" s="240" t="s">
        <v>105</v>
      </c>
      <c r="EU25" s="1">
        <v>109</v>
      </c>
      <c r="EV25" s="1"/>
      <c r="EW25" s="1"/>
      <c r="EX25" s="1"/>
      <c r="EY25" s="1"/>
      <c r="EZ25" s="1"/>
      <c r="FA25" s="1"/>
      <c r="FB25" s="1"/>
      <c r="FC25" s="1"/>
      <c r="FD25" s="1"/>
      <c r="FE25" s="1"/>
      <c r="FF25" s="1"/>
      <c r="FG25" s="1"/>
      <c r="FH25" s="1"/>
      <c r="FI25" s="1"/>
      <c r="FJ25" s="1"/>
      <c r="FK25" s="1"/>
      <c r="FL25" s="1"/>
      <c r="FM25" s="1"/>
      <c r="FN25" s="1"/>
      <c r="FO25" s="1"/>
      <c r="FP25" s="1"/>
    </row>
    <row r="26" spans="1:172" ht="14.25" customHeight="1">
      <c r="A26" s="1"/>
      <c r="B26" s="1"/>
      <c r="C26" s="190"/>
      <c r="D26" s="190"/>
      <c r="E26" s="190"/>
      <c r="F26" s="190"/>
      <c r="G26" s="190"/>
      <c r="H26" s="192" t="s">
        <v>1268</v>
      </c>
      <c r="I26" s="192" t="s">
        <v>986</v>
      </c>
      <c r="J26" s="193">
        <v>1150</v>
      </c>
      <c r="K26" s="194">
        <v>1500</v>
      </c>
      <c r="L26" s="194">
        <v>95000</v>
      </c>
      <c r="M26" s="194">
        <v>53050</v>
      </c>
      <c r="N26" s="194">
        <v>3358000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283" t="str">
        <f ca="1">language!A195</f>
        <v>ГОСТ 12821-80: Pу63</v>
      </c>
      <c r="AP26" s="1"/>
      <c r="AQ26" s="1"/>
      <c r="AR26" s="1"/>
      <c r="AS26" s="1"/>
      <c r="AT26" s="1"/>
      <c r="AU26" s="1"/>
      <c r="AV26" s="1"/>
      <c r="AW26" s="1" t="str">
        <f ca="1">language!A185</f>
        <v>форма E (EN 1092-1)</v>
      </c>
      <c r="AX26" s="1"/>
      <c r="AY26" s="1"/>
      <c r="AZ26" s="1"/>
      <c r="BA26" s="1"/>
      <c r="BB26" s="1"/>
      <c r="BC26" s="1"/>
      <c r="BD26" s="1"/>
      <c r="BE26" s="1"/>
      <c r="BF26" s="1"/>
      <c r="BG26" s="1"/>
      <c r="BH26" s="1"/>
      <c r="BI26" s="1"/>
      <c r="BJ26" s="1"/>
      <c r="BK26" s="1"/>
      <c r="BL26" s="1"/>
      <c r="BM26" s="1"/>
      <c r="BN26" s="1"/>
      <c r="BO26" s="1"/>
      <c r="BP26" s="1"/>
      <c r="BQ26" s="238"/>
      <c r="BR26" s="1"/>
      <c r="BS26" s="1"/>
      <c r="BT26" s="1"/>
      <c r="BU26" s="1"/>
      <c r="BV26" s="1"/>
      <c r="BW26" s="1"/>
      <c r="BX26" s="72" t="s">
        <v>1024</v>
      </c>
      <c r="BY26" s="69" t="s">
        <v>792</v>
      </c>
      <c r="BZ26" s="238" t="s">
        <v>1092</v>
      </c>
      <c r="CA26" s="1"/>
      <c r="CB26" s="1"/>
      <c r="CC26" s="1"/>
      <c r="CD26" s="1"/>
      <c r="CE26" s="1"/>
      <c r="CF26" s="1"/>
      <c r="CG26" s="1"/>
      <c r="CH26" s="1"/>
      <c r="CI26" s="1"/>
      <c r="CJ26" s="1"/>
      <c r="CK26" s="1"/>
      <c r="CL26" s="1"/>
      <c r="CM26" s="1"/>
      <c r="CN26" s="1"/>
      <c r="CO26" s="1"/>
      <c r="CP26" s="1"/>
      <c r="CQ26" s="1"/>
      <c r="CR26" s="1"/>
      <c r="CS26" s="355" t="str">
        <f ca="1">language!A285</f>
        <v>Россия - ГОСТ</v>
      </c>
      <c r="CT26" s="1"/>
      <c r="CU26" s="1"/>
      <c r="CV26" s="1"/>
      <c r="CW26" s="1"/>
      <c r="CX26" s="1"/>
      <c r="CY26" s="1"/>
      <c r="CZ26" s="1"/>
      <c r="DA26" s="1"/>
      <c r="DB26" s="1"/>
      <c r="DC26" s="1"/>
      <c r="DD26" s="1"/>
      <c r="DE26" s="1"/>
      <c r="DF26" s="1"/>
      <c r="DG26" s="1"/>
      <c r="DH26" s="1"/>
      <c r="DI26" s="1"/>
      <c r="DJ26" s="1"/>
      <c r="DK26" s="1"/>
      <c r="DL26" s="1"/>
      <c r="DM26" s="1"/>
      <c r="DN26" s="1"/>
      <c r="DO26" s="1"/>
      <c r="DP26" s="45"/>
      <c r="DQ26" s="45"/>
      <c r="DR26" s="209" t="s">
        <v>364</v>
      </c>
      <c r="DS26" s="209" t="str">
        <f>unittrans!A9</f>
        <v>bar(g)</v>
      </c>
      <c r="DT26" s="209" t="str">
        <f t="shared" si="0"/>
        <v/>
      </c>
      <c r="DU26" s="1"/>
      <c r="DV26" s="1"/>
      <c r="DW26" s="1"/>
      <c r="DX26" s="1"/>
      <c r="DY26" s="1"/>
      <c r="DZ26" s="1"/>
      <c r="EA26" s="1"/>
      <c r="EB26" s="1"/>
      <c r="EC26" s="1"/>
      <c r="ED26" s="1"/>
      <c r="EE26" s="1"/>
      <c r="EF26" s="1"/>
      <c r="EG26" s="1"/>
      <c r="EH26" s="1"/>
      <c r="EI26" s="26">
        <v>9</v>
      </c>
      <c r="EJ26" s="25" t="s">
        <v>1071</v>
      </c>
      <c r="EK26" s="25" t="s">
        <v>1072</v>
      </c>
      <c r="EL26" s="25" t="s">
        <v>1073</v>
      </c>
      <c r="EM26" s="25" t="s">
        <v>1074</v>
      </c>
      <c r="EN26"/>
      <c r="EO26" s="26"/>
      <c r="EP26" s="820"/>
      <c r="EQ26" s="8" t="s">
        <v>406</v>
      </c>
      <c r="ER26" s="41" t="str">
        <f t="shared" si="2"/>
        <v>08G2500</v>
      </c>
      <c r="ES26" s="42">
        <v>1800</v>
      </c>
      <c r="ET26" s="239" t="s">
        <v>3</v>
      </c>
      <c r="EU26" s="1">
        <v>99</v>
      </c>
      <c r="EV26" s="1"/>
      <c r="EW26" s="1"/>
      <c r="EX26" s="1"/>
      <c r="EY26" s="1"/>
      <c r="EZ26" s="1"/>
      <c r="FA26" s="1"/>
      <c r="FB26" s="1"/>
      <c r="FC26" s="1"/>
      <c r="FD26" s="1"/>
      <c r="FE26" s="1"/>
      <c r="FF26" s="1"/>
      <c r="FG26" s="1"/>
      <c r="FH26" s="1"/>
      <c r="FI26" s="1"/>
      <c r="FJ26" s="1"/>
      <c r="FK26" s="1"/>
      <c r="FL26" s="1"/>
      <c r="FM26" s="1"/>
      <c r="FN26" s="1"/>
      <c r="FO26" s="1"/>
      <c r="FP26" s="1"/>
    </row>
    <row r="27" spans="1:172" ht="14.25" customHeight="1">
      <c r="A27" s="1"/>
      <c r="B27" s="1"/>
      <c r="C27" s="190"/>
      <c r="D27" s="190"/>
      <c r="E27" s="190"/>
      <c r="F27" s="190"/>
      <c r="G27" s="190"/>
      <c r="H27" s="192" t="s">
        <v>1269</v>
      </c>
      <c r="I27" s="192" t="s">
        <v>987</v>
      </c>
      <c r="J27" s="193">
        <v>1200</v>
      </c>
      <c r="K27" s="194">
        <v>1600</v>
      </c>
      <c r="L27" s="194">
        <v>100000</v>
      </c>
      <c r="M27" s="194">
        <v>56600</v>
      </c>
      <c r="N27" s="194">
        <v>3535000</v>
      </c>
      <c r="O27" s="1"/>
      <c r="P27" s="1"/>
      <c r="Q27" s="1"/>
      <c r="R27" s="1"/>
      <c r="S27" s="1"/>
      <c r="T27" s="1"/>
      <c r="U27" s="1"/>
      <c r="V27" s="1"/>
      <c r="W27" s="1"/>
      <c r="X27"/>
      <c r="Y27"/>
      <c r="Z27" s="1"/>
      <c r="AA27" s="1"/>
      <c r="AB27" s="1"/>
      <c r="AC27" s="1"/>
      <c r="AD27" s="1"/>
      <c r="AE27" s="1"/>
      <c r="AF27" s="1"/>
      <c r="AG27" s="1"/>
      <c r="AH27" s="1"/>
      <c r="AI27" s="1"/>
      <c r="AJ27" s="1"/>
      <c r="AK27" s="1"/>
      <c r="AL27" s="1"/>
      <c r="AM27" s="1"/>
      <c r="AN27" s="1"/>
      <c r="AO27" s="283" t="str">
        <f ca="1">language!A196</f>
        <v>ГОСТ 12821-80: Pу64</v>
      </c>
      <c r="AP27" s="1"/>
      <c r="AQ27" s="1"/>
      <c r="AR27" s="1"/>
      <c r="AS27" s="1"/>
      <c r="AT27" s="1"/>
      <c r="AU27" s="1"/>
      <c r="AV27" s="1"/>
      <c r="AW27" s="1" t="str">
        <f ca="1">language!A186</f>
        <v>форма F (EN 1092-1)</v>
      </c>
      <c r="AX27" s="1"/>
      <c r="AY27" s="1"/>
      <c r="AZ27" s="1"/>
      <c r="BA27" s="1"/>
      <c r="BB27" s="1"/>
      <c r="BC27" s="1"/>
      <c r="BD27" s="1"/>
      <c r="BE27" s="1"/>
      <c r="BF27" s="1"/>
      <c r="BG27" s="1"/>
      <c r="BH27" s="1"/>
      <c r="BI27" s="1"/>
      <c r="BJ27" s="1"/>
      <c r="BK27" s="1"/>
      <c r="BL27" s="1"/>
      <c r="BM27" s="1"/>
      <c r="BN27" s="1"/>
      <c r="BO27" s="1"/>
      <c r="BP27" s="1"/>
      <c r="BQ27" s="238"/>
      <c r="BR27" s="1"/>
      <c r="BS27" s="1"/>
      <c r="BT27" s="1"/>
      <c r="BU27" s="1"/>
      <c r="BV27" s="1"/>
      <c r="BW27" s="1"/>
      <c r="CC27" s="1"/>
      <c r="CD27" s="1"/>
      <c r="CE27" s="1"/>
      <c r="CF27" s="1"/>
      <c r="CG27" s="1"/>
      <c r="CH27" s="1"/>
      <c r="CI27" s="1"/>
      <c r="CJ27" s="1"/>
      <c r="CK27" s="1"/>
      <c r="CL27" s="1"/>
      <c r="CM27" s="1"/>
      <c r="CN27" s="1"/>
      <c r="CO27" s="1"/>
      <c r="CP27" s="1"/>
      <c r="CQ27" s="1"/>
      <c r="CR27" s="1"/>
      <c r="CS27" s="355" t="str">
        <f ca="1">language!A286</f>
        <v>Суадовская Арабия</v>
      </c>
      <c r="CT27" s="1"/>
      <c r="CU27" s="1"/>
      <c r="CV27" s="1"/>
      <c r="CW27" s="1"/>
      <c r="CX27" s="1"/>
      <c r="CY27" s="1"/>
      <c r="CZ27" s="1"/>
      <c r="DA27" s="1"/>
      <c r="DB27" s="1"/>
      <c r="DC27" s="1"/>
      <c r="DD27" s="1"/>
      <c r="DE27" s="1"/>
      <c r="DF27" s="1"/>
      <c r="DG27" s="1"/>
      <c r="DH27" s="1"/>
      <c r="DI27" s="1"/>
      <c r="DJ27" s="1"/>
      <c r="DK27" s="1"/>
      <c r="DL27" s="1"/>
      <c r="DM27" s="1"/>
      <c r="DN27" s="1"/>
      <c r="DO27" s="1"/>
      <c r="DP27" s="45"/>
      <c r="DQ27" s="45"/>
      <c r="DR27" s="209" t="str">
        <f ca="1">language!A49</f>
        <v>Расст. до счётчика</v>
      </c>
      <c r="DS27" s="209" t="str">
        <f>unittrans!A20</f>
        <v>m</v>
      </c>
      <c r="DT27" s="209" t="str">
        <f t="shared" si="0"/>
        <v/>
      </c>
      <c r="DU27" s="1"/>
      <c r="DV27" s="1"/>
      <c r="DW27" s="1"/>
      <c r="DX27" s="1"/>
      <c r="DY27" s="1"/>
      <c r="DZ27" s="1"/>
      <c r="EA27" s="1"/>
      <c r="EB27" s="1"/>
      <c r="EC27" s="1"/>
      <c r="ED27" s="1"/>
      <c r="EE27" s="1"/>
      <c r="EF27" s="1"/>
      <c r="EG27" s="1"/>
      <c r="EH27" s="1"/>
      <c r="EI27" s="26">
        <v>10</v>
      </c>
      <c r="EJ27" s="25" t="s">
        <v>1071</v>
      </c>
      <c r="EK27" s="25" t="s">
        <v>1072</v>
      </c>
      <c r="EL27" s="25" t="s">
        <v>1073</v>
      </c>
      <c r="EM27" s="25" t="s">
        <v>1074</v>
      </c>
      <c r="EN27"/>
      <c r="EO27" s="22"/>
      <c r="EP27" s="818">
        <v>10</v>
      </c>
      <c r="EQ27" s="241" t="s">
        <v>404</v>
      </c>
      <c r="ER27" s="38" t="str">
        <f>CONCATENATE($EP$27,EQ27)</f>
        <v>10G1000</v>
      </c>
      <c r="ES27" s="39">
        <v>4500</v>
      </c>
      <c r="ET27" s="240" t="s">
        <v>106</v>
      </c>
      <c r="EU27" s="1">
        <v>90</v>
      </c>
      <c r="EV27" s="1"/>
      <c r="EW27" s="1"/>
      <c r="EX27" s="1"/>
      <c r="EY27" s="1"/>
      <c r="EZ27" s="1"/>
      <c r="FA27" s="1"/>
      <c r="FB27" s="1"/>
      <c r="FC27" s="1"/>
      <c r="FD27" s="1"/>
      <c r="FE27" s="1"/>
      <c r="FF27" s="1"/>
      <c r="FG27" s="1"/>
      <c r="FH27" s="1"/>
      <c r="FI27" s="1"/>
      <c r="FJ27" s="1"/>
      <c r="FK27" s="1"/>
      <c r="FL27" s="1"/>
      <c r="FM27" s="1"/>
      <c r="FN27" s="1"/>
      <c r="FO27" s="1"/>
      <c r="FP27" s="1"/>
    </row>
    <row r="28" spans="1:172" ht="14.25" customHeight="1">
      <c r="A28" s="1"/>
      <c r="B28" s="1"/>
      <c r="C28" s="190"/>
      <c r="D28" s="190"/>
      <c r="E28" s="190"/>
      <c r="F28" s="190"/>
      <c r="G28" s="190"/>
      <c r="H28" s="218">
        <f>'Page1|Страница 1'!K36</f>
        <v>0</v>
      </c>
      <c r="I28" s="219" t="e">
        <f>VALUE(VLOOKUP(H28,H3:I27,2,FALSE))</f>
        <v>#N/A</v>
      </c>
      <c r="J28" s="219" t="e">
        <f>VALUE(VLOOKUP(H28,H3:J27,3,FALSE))</f>
        <v>#N/A</v>
      </c>
      <c r="K28" s="220" t="e">
        <f>VLOOKUP($H28,$H$3:$N$27,4,FALSE)</f>
        <v>#N/A</v>
      </c>
      <c r="L28" s="220" t="e">
        <f>VLOOKUP($H28,$H$3:$N$27,5,FALSE)</f>
        <v>#N/A</v>
      </c>
      <c r="M28" s="220" t="e">
        <f>VLOOKUP($H28,$H$3:$N$27,6,FALSE)</f>
        <v>#N/A</v>
      </c>
      <c r="N28" s="220" t="e">
        <f>VLOOKUP($H28,$H$3:$N$27,7,FALSE)</f>
        <v>#N/A</v>
      </c>
      <c r="O28" s="1"/>
      <c r="P28" s="1"/>
      <c r="Q28" s="1"/>
      <c r="R28" s="1"/>
      <c r="S28" s="1"/>
      <c r="T28" s="1"/>
      <c r="U28" s="1"/>
      <c r="V28" s="1"/>
      <c r="W28" s="1"/>
      <c r="X28"/>
      <c r="Y28"/>
      <c r="Z28" s="1"/>
      <c r="AA28" s="1"/>
      <c r="AB28" s="1"/>
      <c r="AC28" s="1"/>
      <c r="AD28" s="1"/>
      <c r="AE28" s="1"/>
      <c r="AF28" s="1"/>
      <c r="AG28" s="1"/>
      <c r="AH28" s="1"/>
      <c r="AI28" s="1"/>
      <c r="AJ28" s="1"/>
      <c r="AK28" s="1"/>
      <c r="AL28" s="1"/>
      <c r="AM28" s="1"/>
      <c r="AN28" s="1"/>
      <c r="AO28" s="273" t="e">
        <f>IF(J$28&gt;400,"",language!A197)</f>
        <v>#N/A</v>
      </c>
      <c r="AP28" s="1"/>
      <c r="AQ28" s="1"/>
      <c r="AR28" s="1"/>
      <c r="AS28" s="1"/>
      <c r="AT28" s="1"/>
      <c r="AU28" s="1"/>
      <c r="AV28" s="1"/>
      <c r="AW28" s="1" t="str">
        <f ca="1">language!A187</f>
        <v>форма G (EN 1092-1)</v>
      </c>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Y28" s="1"/>
      <c r="BZ28" s="1"/>
      <c r="CA28" s="1"/>
      <c r="CB28" s="1"/>
      <c r="CC28" s="1"/>
      <c r="CD28" s="1"/>
      <c r="CE28" s="1"/>
      <c r="CF28" s="1"/>
      <c r="CG28" s="1"/>
      <c r="CH28" s="1"/>
      <c r="CI28" s="1"/>
      <c r="CJ28" s="1"/>
      <c r="CK28" s="1"/>
      <c r="CL28" s="1"/>
      <c r="CM28" s="1"/>
      <c r="CN28" s="1"/>
      <c r="CO28" s="1"/>
      <c r="CP28" s="1"/>
      <c r="CQ28" s="1"/>
      <c r="CR28" s="1"/>
      <c r="CS28" s="355" t="str">
        <f ca="1">language!A287</f>
        <v>Сербия - SEB</v>
      </c>
      <c r="CT28" s="1"/>
      <c r="CU28" s="1"/>
      <c r="CV28" s="1"/>
      <c r="CW28" s="1"/>
      <c r="CX28" s="1"/>
      <c r="CY28" s="1"/>
      <c r="CZ28" s="1"/>
      <c r="DA28" s="1"/>
      <c r="DB28" s="1"/>
      <c r="DC28" s="1"/>
      <c r="DD28" s="1"/>
      <c r="DE28" s="1"/>
      <c r="DF28" s="1"/>
      <c r="DG28" s="1"/>
      <c r="DH28" s="1"/>
      <c r="DI28" s="1"/>
      <c r="DJ28" s="1"/>
      <c r="DK28" s="1"/>
      <c r="DL28" s="1"/>
      <c r="DM28" s="1"/>
      <c r="DN28" s="1"/>
      <c r="DO28" s="1"/>
      <c r="DP28" s="45"/>
      <c r="DQ28" s="45"/>
      <c r="DR28" s="1"/>
      <c r="DS28" s="1"/>
      <c r="DT28" s="1"/>
      <c r="DU28" s="1"/>
      <c r="DV28" s="1"/>
      <c r="DW28" s="1"/>
      <c r="DX28" s="1"/>
      <c r="DY28" s="1"/>
      <c r="DZ28" s="1"/>
      <c r="EA28" s="1"/>
      <c r="EB28" s="1"/>
      <c r="EC28" s="1"/>
      <c r="ED28" s="1"/>
      <c r="EE28" s="1"/>
      <c r="EF28" s="1"/>
      <c r="EG28" s="1"/>
      <c r="EH28" s="1"/>
      <c r="EI28" s="26">
        <v>11</v>
      </c>
      <c r="EJ28" s="25" t="s">
        <v>1071</v>
      </c>
      <c r="EK28" s="25" t="s">
        <v>1072</v>
      </c>
      <c r="EL28" s="25" t="s">
        <v>1073</v>
      </c>
      <c r="EM28" s="25" t="s">
        <v>1074</v>
      </c>
      <c r="EN28"/>
      <c r="EO28" s="22"/>
      <c r="EP28" s="819"/>
      <c r="EQ28" s="7" t="s">
        <v>405</v>
      </c>
      <c r="ER28" s="32" t="str">
        <f>CONCATENATE($EP$27,EQ28)</f>
        <v>10G1600</v>
      </c>
      <c r="ES28" s="40">
        <v>2880</v>
      </c>
      <c r="ET28" s="240" t="s">
        <v>984</v>
      </c>
      <c r="EU28" s="1">
        <v>85</v>
      </c>
      <c r="EV28" s="1"/>
      <c r="EW28" s="1"/>
      <c r="EX28" s="1"/>
      <c r="EY28" s="1"/>
      <c r="EZ28" s="1"/>
      <c r="FA28" s="1"/>
      <c r="FB28" s="1"/>
      <c r="FC28" s="1"/>
      <c r="FD28" s="1"/>
      <c r="FE28" s="1"/>
      <c r="FF28" s="1"/>
      <c r="FG28" s="1"/>
      <c r="FH28" s="1"/>
      <c r="FI28" s="1"/>
      <c r="FJ28" s="1"/>
      <c r="FK28" s="1"/>
      <c r="FL28" s="1"/>
      <c r="FM28" s="1"/>
      <c r="FN28" s="1"/>
      <c r="FO28" s="1"/>
      <c r="FP28" s="1"/>
    </row>
    <row r="29" spans="1:172" ht="14.25" customHeight="1">
      <c r="A29" s="1"/>
      <c r="B29" s="1"/>
      <c r="C29" s="190"/>
      <c r="D29" s="190"/>
      <c r="E29" s="190"/>
      <c r="F29" s="190"/>
      <c r="G29" s="190"/>
      <c r="H29" s="1"/>
      <c r="I29" s="197"/>
      <c r="J29" s="1"/>
      <c r="K29" s="140" t="e">
        <f ca="1">IF(OR('Page1|Страница 1'!R62=language!A486,'Page1|Страница 1'!R62=language!A487),M28,K28)</f>
        <v>#N/A</v>
      </c>
      <c r="L29" s="140" t="e">
        <f ca="1">IF(OR('Page1|Страница 1'!R62=language!A486,'Page1|Страница 1'!R62=language!A487),N28,L28)</f>
        <v>#N/A</v>
      </c>
      <c r="M29" s="190"/>
      <c r="N29" s="190"/>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273" t="e">
        <f>IF(J$28&gt;300,"",language!A198)</f>
        <v>#N/A</v>
      </c>
      <c r="AP29" s="1"/>
      <c r="AQ29" s="1"/>
      <c r="AR29" s="1"/>
      <c r="AS29" s="1"/>
      <c r="AT29" s="1"/>
      <c r="AU29" s="1"/>
      <c r="AV29" s="1"/>
      <c r="AW29" s="1" t="str">
        <f ca="1">language!A188</f>
        <v>форма H (EN 1092-1)</v>
      </c>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355" t="str">
        <f ca="1">language!A288</f>
        <v>Испания</v>
      </c>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25"/>
      <c r="EJ29" s="25"/>
      <c r="EK29" s="25"/>
      <c r="EL29" s="25"/>
      <c r="EM29" s="25"/>
      <c r="EN29"/>
      <c r="EO29" s="22"/>
      <c r="EP29" s="819"/>
      <c r="EQ29" s="7" t="s">
        <v>406</v>
      </c>
      <c r="ER29" s="32" t="str">
        <f>CONCATENATE($EP$27,EQ29)</f>
        <v>10G2500</v>
      </c>
      <c r="ES29" s="40">
        <v>1800</v>
      </c>
      <c r="ET29" s="240" t="s">
        <v>985</v>
      </c>
      <c r="EU29" s="1">
        <v>80</v>
      </c>
      <c r="EV29" s="1"/>
      <c r="EW29" s="1"/>
      <c r="EX29" s="1"/>
      <c r="EY29" s="1"/>
      <c r="EZ29" s="1"/>
      <c r="FA29" s="1"/>
      <c r="FB29" s="1"/>
      <c r="FC29" s="1"/>
      <c r="FD29" s="1"/>
      <c r="FE29" s="1"/>
      <c r="FF29" s="1"/>
      <c r="FG29" s="1"/>
      <c r="FH29" s="1"/>
      <c r="FI29" s="1"/>
      <c r="FJ29" s="1"/>
      <c r="FK29" s="1"/>
      <c r="FL29" s="1"/>
      <c r="FM29" s="1"/>
      <c r="FN29" s="1"/>
      <c r="FO29" s="1"/>
      <c r="FP29" s="1"/>
    </row>
    <row r="30" spans="1:172" ht="14.25" customHeight="1">
      <c r="A30" s="1"/>
      <c r="B30" s="1"/>
      <c r="C30" s="190"/>
      <c r="D30" s="190"/>
      <c r="E30" s="190"/>
      <c r="F30" s="190"/>
      <c r="G30" s="190"/>
      <c r="H30" s="1"/>
      <c r="I30" s="197"/>
      <c r="J30" s="1"/>
      <c r="K30" s="190"/>
      <c r="L30" s="190"/>
      <c r="M30" s="190"/>
      <c r="N30" s="190"/>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273" t="e">
        <f>IF(J$28&gt;250,"",language!A199)</f>
        <v>#N/A</v>
      </c>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355" t="str">
        <f ca="1">language!A289</f>
        <v>Швейцария - MET</v>
      </c>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21" t="s">
        <v>421</v>
      </c>
      <c r="EJ30" s="25"/>
      <c r="EK30" s="25"/>
      <c r="EL30" s="25"/>
      <c r="EM30" s="25"/>
      <c r="EN30"/>
      <c r="EO30" s="26"/>
      <c r="EP30" s="819"/>
      <c r="EQ30" s="7" t="s">
        <v>415</v>
      </c>
      <c r="ER30" s="32" t="str">
        <f>CONCATENATE($EP$27,EQ30)</f>
        <v>10G2500E</v>
      </c>
      <c r="ES30" s="40">
        <v>1440</v>
      </c>
      <c r="ET30" s="240" t="s">
        <v>986</v>
      </c>
      <c r="EU30" s="1">
        <v>76</v>
      </c>
      <c r="EV30" s="1"/>
      <c r="EW30" s="1"/>
      <c r="EX30" s="1"/>
      <c r="EY30" s="1"/>
      <c r="EZ30" s="1"/>
      <c r="FA30" s="1"/>
      <c r="FB30" s="1"/>
      <c r="FC30" s="1"/>
      <c r="FD30" s="1"/>
      <c r="FE30" s="1"/>
      <c r="FF30" s="1"/>
      <c r="FG30" s="1"/>
      <c r="FH30" s="1"/>
      <c r="FI30" s="1"/>
      <c r="FJ30" s="1"/>
      <c r="FK30" s="1"/>
      <c r="FL30" s="1"/>
      <c r="FM30" s="1"/>
      <c r="FN30" s="1"/>
      <c r="FO30" s="1"/>
      <c r="FP30" s="1"/>
    </row>
    <row r="31" spans="1:172" ht="14.25" customHeight="1">
      <c r="A31" s="1"/>
      <c r="B31" s="1"/>
      <c r="C31" s="190"/>
      <c r="D31" s="190"/>
      <c r="E31" s="190"/>
      <c r="F31" s="190"/>
      <c r="G31" s="190"/>
      <c r="H31" s="72"/>
      <c r="I31" s="197"/>
      <c r="J31" s="1"/>
      <c r="K31" s="190"/>
      <c r="L31" s="190"/>
      <c r="M31" s="190"/>
      <c r="N31" s="190"/>
      <c r="O31" s="1"/>
      <c r="P31" s="1"/>
      <c r="Q31" s="1"/>
      <c r="R31" s="1"/>
      <c r="S31" s="1"/>
      <c r="T31" s="1"/>
      <c r="U31" s="1"/>
      <c r="V31" s="1"/>
      <c r="W31" s="1"/>
      <c r="X31"/>
      <c r="Y31"/>
      <c r="Z31" s="1"/>
      <c r="AA31" s="1"/>
      <c r="AB31" s="1"/>
      <c r="AC31" s="1"/>
      <c r="AD31" s="1"/>
      <c r="AE31" s="1"/>
      <c r="AF31" s="1"/>
      <c r="AG31" s="1"/>
      <c r="AH31" s="1"/>
      <c r="AI31" s="1"/>
      <c r="AJ31" s="1"/>
      <c r="AK31" s="1"/>
      <c r="AL31" s="1"/>
      <c r="AM31" s="1"/>
      <c r="AN31" s="1"/>
      <c r="AO31" s="1"/>
      <c r="AP31" s="1"/>
      <c r="AQ31" s="1"/>
      <c r="AR31" s="1"/>
      <c r="AS31" s="1"/>
      <c r="AT31" s="1"/>
      <c r="AU31" s="1"/>
      <c r="AV31" s="1"/>
      <c r="AW31" s="175" t="str">
        <f ca="1">language!A201</f>
        <v>ГОСТ 12815-80: Исполн. 1</v>
      </c>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355" t="str">
        <f ca="1">language!A290</f>
        <v>Украина - UKR</v>
      </c>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72"/>
      <c r="EI31" s="27" t="s">
        <v>419</v>
      </c>
      <c r="EJ31"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31" s="31"/>
      <c r="EL31" s="31"/>
      <c r="EM31" s="31"/>
      <c r="EN31"/>
      <c r="EO31" s="26"/>
      <c r="EP31" s="820"/>
      <c r="EQ31" s="8" t="s">
        <v>407</v>
      </c>
      <c r="ER31" s="41" t="str">
        <f>CONCATENATE($EP$27,EQ31)</f>
        <v>10G4000</v>
      </c>
      <c r="ES31" s="42">
        <v>1110</v>
      </c>
      <c r="ET31" s="240" t="s">
        <v>987</v>
      </c>
      <c r="EU31" s="1">
        <v>72</v>
      </c>
      <c r="EV31" s="1"/>
      <c r="EW31" s="1"/>
      <c r="EX31" s="1"/>
      <c r="EY31" s="1"/>
      <c r="EZ31" s="1"/>
      <c r="FA31" s="1"/>
      <c r="FB31" s="1"/>
      <c r="FC31" s="1"/>
      <c r="FD31" s="1"/>
      <c r="FE31" s="1"/>
      <c r="FF31" s="1"/>
      <c r="FG31" s="1"/>
      <c r="FH31" s="1"/>
      <c r="FI31" s="1"/>
      <c r="FJ31" s="1"/>
      <c r="FK31" s="1"/>
      <c r="FL31" s="1"/>
      <c r="FM31" s="1"/>
      <c r="FN31" s="1"/>
      <c r="FO31" s="1"/>
      <c r="FP31" s="1"/>
    </row>
    <row r="32" spans="1:172" ht="14.25" customHeight="1">
      <c r="A32" s="1"/>
      <c r="B32" s="1"/>
      <c r="C32" s="190"/>
      <c r="D32" s="190"/>
      <c r="E32" s="190"/>
      <c r="F32" s="190"/>
      <c r="G32" s="190"/>
      <c r="H32" s="1"/>
      <c r="I32" s="197"/>
      <c r="J32" s="1"/>
      <c r="K32" s="190"/>
      <c r="L32" s="190"/>
      <c r="M32" s="190"/>
      <c r="N32" s="190"/>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75" t="str">
        <f ca="1">language!A202</f>
        <v>ГОСТ 12815-80: Исполн. 2</v>
      </c>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5"/>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72"/>
      <c r="EI32" s="23" t="s">
        <v>420</v>
      </c>
      <c r="EJ32" s="24" t="e">
        <f>VLOOKUP($EJ$3,$EI36:$EM43,2,FALSE)</f>
        <v>#N/A</v>
      </c>
      <c r="EK32" s="29" t="e">
        <f>VLOOKUP($EJ$3,$EI36:$EM43,3,FALSE)</f>
        <v>#N/A</v>
      </c>
      <c r="EL32" s="29" t="e">
        <f>VLOOKUP($EJ$3,$EI36:$EM43,4,FALSE)</f>
        <v>#N/A</v>
      </c>
      <c r="EM32" s="29" t="e">
        <f>VLOOKUP($EJ$3,$EI36:$EM43,5,FALSE)</f>
        <v>#N/A</v>
      </c>
      <c r="EN32"/>
      <c r="EO32" s="22"/>
      <c r="EP32" s="818">
        <v>12</v>
      </c>
      <c r="EQ32" s="241" t="s">
        <v>405</v>
      </c>
      <c r="ER32" s="38" t="str">
        <f>CONCATENATE($EP$32,EQ32)</f>
        <v>12G1600</v>
      </c>
      <c r="ES32" s="39">
        <v>2880</v>
      </c>
      <c r="ET32" s="1"/>
      <c r="EU32" s="1"/>
      <c r="EV32" s="1"/>
      <c r="EW32" s="1"/>
      <c r="EX32" s="1"/>
      <c r="EY32" s="1"/>
      <c r="EZ32" s="1"/>
      <c r="FA32" s="1"/>
      <c r="FB32" s="1"/>
      <c r="FC32" s="1"/>
      <c r="FD32" s="1"/>
      <c r="FE32" s="1"/>
      <c r="FF32" s="1"/>
      <c r="FG32" s="1"/>
      <c r="FH32" s="1"/>
      <c r="FI32" s="1"/>
      <c r="FJ32" s="1"/>
      <c r="FK32" s="1"/>
      <c r="FL32" s="1"/>
      <c r="FM32" s="1"/>
      <c r="FN32" s="1"/>
      <c r="FO32" s="1"/>
      <c r="FP32" s="1"/>
    </row>
    <row r="33" spans="1:172" ht="14.25" customHeight="1">
      <c r="A33" s="1"/>
      <c r="B33" s="1"/>
      <c r="C33" s="190"/>
      <c r="D33" s="190"/>
      <c r="E33" s="190"/>
      <c r="F33" s="190"/>
      <c r="G33" s="190"/>
      <c r="H33" s="1"/>
      <c r="I33" s="197"/>
      <c r="J33" s="1"/>
      <c r="K33" s="190"/>
      <c r="L33" s="190"/>
      <c r="M33" s="190"/>
      <c r="N33" s="190"/>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75" t="str">
        <f ca="1">language!A203</f>
        <v>ГОСТ 12815-80: Исполн. 3</v>
      </c>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5"/>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72"/>
      <c r="EI33" s="63">
        <f>'Page3|Страница 3'!K47</f>
        <v>0</v>
      </c>
      <c r="EJ33" s="65" t="str">
        <f ca="1">language!$A$346</f>
        <v>Объём (р.у.), нет импульсов если нет достоверного резултата</v>
      </c>
      <c r="EK33" s="65" t="str">
        <f ca="1">language!$A$347</f>
        <v>Объём (р.у.), направление потока виде свига по фазе +-90°</v>
      </c>
      <c r="EL33" s="65" t="str">
        <f ca="1">language!$A$348</f>
        <v>Объём (р.у.), при отрицательном направлени потока</v>
      </c>
      <c r="EM33" s="65" t="s">
        <v>132</v>
      </c>
      <c r="EN33"/>
      <c r="EO33" s="22"/>
      <c r="EP33" s="819"/>
      <c r="EQ33" s="7" t="s">
        <v>406</v>
      </c>
      <c r="ER33" s="32" t="str">
        <f>CONCATENATE($EP$32,EQ33)</f>
        <v>12G2500</v>
      </c>
      <c r="ES33" s="40">
        <v>1800</v>
      </c>
      <c r="ET33" s="1"/>
      <c r="EU33" s="1"/>
      <c r="EV33" s="1"/>
      <c r="EW33" s="1"/>
      <c r="EX33" s="1"/>
      <c r="EY33" s="1"/>
      <c r="EZ33" s="1"/>
      <c r="FA33" s="1"/>
      <c r="FB33" s="1"/>
      <c r="FC33" s="1"/>
      <c r="FD33" s="1"/>
      <c r="FE33" s="1"/>
      <c r="FF33" s="1"/>
      <c r="FG33" s="1"/>
      <c r="FH33" s="1"/>
      <c r="FI33" s="1"/>
      <c r="FJ33" s="1"/>
      <c r="FK33" s="1"/>
      <c r="FL33" s="1"/>
      <c r="FM33" s="1"/>
      <c r="FN33" s="1"/>
      <c r="FO33" s="1"/>
      <c r="FP33" s="1"/>
    </row>
    <row r="34" spans="1:172" ht="14.25" customHeight="1">
      <c r="A34" s="1"/>
      <c r="B34" s="1"/>
      <c r="C34" s="190"/>
      <c r="D34" s="190"/>
      <c r="E34" s="190"/>
      <c r="F34" s="190"/>
      <c r="G34" s="190"/>
      <c r="H34" s="1"/>
      <c r="I34" s="197"/>
      <c r="J34" s="1"/>
      <c r="K34" s="190"/>
      <c r="L34" s="190"/>
      <c r="M34" s="190"/>
      <c r="N34" s="190"/>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75" t="str">
        <f ca="1">language!A204</f>
        <v>ГОСТ 12815-80: Исполн. 4</v>
      </c>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5"/>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72"/>
      <c r="EI34" s="64" t="s">
        <v>499</v>
      </c>
      <c r="EJ34" s="61" t="str">
        <f ca="1">language!$A$349</f>
        <v>Объём (р.у.)</v>
      </c>
      <c r="EK34" s="61" t="str">
        <f ca="1">language!$A$349</f>
        <v>Объём (р.у.)</v>
      </c>
      <c r="EL34" s="62" t="str">
        <f ca="1">language!A350</f>
        <v>Объём (р.у.), при положительном направлени потока</v>
      </c>
      <c r="EM34" s="61" t="s">
        <v>132</v>
      </c>
      <c r="EN34"/>
      <c r="EO34" s="22"/>
      <c r="EP34" s="819"/>
      <c r="EQ34" s="7" t="s">
        <v>407</v>
      </c>
      <c r="ER34" s="32" t="str">
        <f>CONCATENATE($EP$32,EQ34)</f>
        <v>12G4000</v>
      </c>
      <c r="ES34" s="40">
        <v>1110</v>
      </c>
      <c r="ET34" s="1"/>
      <c r="EU34" s="1"/>
      <c r="EV34" s="1"/>
      <c r="EW34" s="1"/>
      <c r="EX34" s="1"/>
      <c r="EY34" s="1"/>
      <c r="EZ34" s="1"/>
      <c r="FA34" s="1"/>
      <c r="FB34" s="1"/>
      <c r="FC34" s="1"/>
      <c r="FD34" s="1"/>
      <c r="FE34" s="1"/>
      <c r="FF34" s="1"/>
      <c r="FG34" s="1"/>
      <c r="FH34" s="1"/>
      <c r="FI34" s="1"/>
      <c r="FJ34" s="1"/>
      <c r="FK34" s="1"/>
      <c r="FL34" s="1"/>
      <c r="FM34" s="1"/>
      <c r="FN34" s="1"/>
      <c r="FO34" s="1"/>
      <c r="FP34" s="1"/>
    </row>
    <row r="35" spans="1:172" ht="14.25" customHeight="1">
      <c r="A35" s="1"/>
      <c r="B35" s="1"/>
      <c r="C35" s="190"/>
      <c r="D35" s="190"/>
      <c r="E35" s="190"/>
      <c r="F35" s="190"/>
      <c r="G35" s="190"/>
      <c r="H35" s="1"/>
      <c r="I35" s="197"/>
      <c r="J35" s="1"/>
      <c r="K35" s="190"/>
      <c r="L35" s="190"/>
      <c r="M35" s="190"/>
      <c r="N35" s="190"/>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75" t="str">
        <f ca="1">language!A205</f>
        <v>ГОСТ 12815-80: Исполн. 5</v>
      </c>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5"/>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72"/>
      <c r="EI35" s="34" t="s">
        <v>499</v>
      </c>
      <c r="EJ35" s="32" t="e">
        <f ca="1">HLOOKUP(EI33,EJ33:EM34,2,FALSE)</f>
        <v>#N/A</v>
      </c>
      <c r="EK35" s="32" t="s">
        <v>132</v>
      </c>
      <c r="EL35" s="32" t="s">
        <v>132</v>
      </c>
      <c r="EM35" s="32" t="s">
        <v>132</v>
      </c>
      <c r="EN35"/>
      <c r="EO35" s="22"/>
      <c r="EP35" s="820"/>
      <c r="EQ35" s="8" t="s">
        <v>416</v>
      </c>
      <c r="ER35" s="41" t="str">
        <f>CONCATENATE($EP$32,EQ35)</f>
        <v>12G4000E</v>
      </c>
      <c r="ES35" s="42">
        <v>920</v>
      </c>
      <c r="ET35" s="1"/>
      <c r="EU35" s="1"/>
      <c r="EV35" s="1"/>
      <c r="EW35" s="1"/>
      <c r="EX35" s="1"/>
      <c r="EY35" s="1"/>
      <c r="EZ35" s="1"/>
      <c r="FA35" s="1"/>
      <c r="FB35" s="1"/>
      <c r="FC35" s="1"/>
      <c r="FD35" s="1"/>
      <c r="FE35" s="1"/>
      <c r="FF35" s="1"/>
      <c r="FG35" s="1"/>
      <c r="FH35" s="1"/>
      <c r="FI35" s="1"/>
      <c r="FJ35" s="1"/>
      <c r="FK35" s="1"/>
      <c r="FL35" s="1"/>
      <c r="FM35" s="1"/>
      <c r="FN35" s="1"/>
      <c r="FO35" s="1"/>
      <c r="FP35" s="1"/>
    </row>
    <row r="36" spans="1:172" ht="14.25" customHeight="1">
      <c r="A36" s="1"/>
      <c r="B36" s="1"/>
      <c r="C36" s="190"/>
      <c r="D36" s="190"/>
      <c r="E36" s="190"/>
      <c r="F36" s="190"/>
      <c r="G36" s="190"/>
      <c r="H36" s="1"/>
      <c r="I36" s="197"/>
      <c r="J36" s="1"/>
      <c r="K36" s="190"/>
      <c r="L36" s="190"/>
      <c r="M36" s="190"/>
      <c r="N36" s="190"/>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75" t="str">
        <f ca="1">language!A206</f>
        <v>ГОСТ 12815-80: Исполн. 6</v>
      </c>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5"/>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72"/>
      <c r="EI36" s="26">
        <v>3</v>
      </c>
      <c r="EJ36" s="25" t="str">
        <f ca="1">language!$A$349</f>
        <v>Объём (р.у.)</v>
      </c>
      <c r="EK36" s="25" t="s">
        <v>132</v>
      </c>
      <c r="EL36" s="25" t="s">
        <v>132</v>
      </c>
      <c r="EM36" s="25" t="s">
        <v>132</v>
      </c>
      <c r="EN36"/>
      <c r="EO36" s="22"/>
      <c r="EP36" s="818">
        <v>14</v>
      </c>
      <c r="EQ36" s="241" t="s">
        <v>405</v>
      </c>
      <c r="ER36" s="38" t="str">
        <f>CONCATENATE($EP$36,EQ36)</f>
        <v>14G1600</v>
      </c>
      <c r="ES36" s="39">
        <v>2880</v>
      </c>
      <c r="ET36" s="1"/>
      <c r="EU36" s="1"/>
      <c r="EV36" s="1"/>
      <c r="EW36" s="1"/>
      <c r="EX36" s="1"/>
      <c r="EY36" s="1"/>
      <c r="EZ36" s="1"/>
      <c r="FA36" s="1"/>
      <c r="FB36" s="1"/>
      <c r="FC36" s="1"/>
      <c r="FD36" s="1"/>
      <c r="FE36" s="1"/>
      <c r="FF36" s="1"/>
      <c r="FG36" s="1"/>
      <c r="FH36" s="1"/>
      <c r="FI36" s="1"/>
      <c r="FJ36" s="1"/>
      <c r="FK36" s="1"/>
      <c r="FL36" s="1"/>
      <c r="FM36" s="1"/>
      <c r="FN36" s="1"/>
      <c r="FO36" s="1"/>
      <c r="FP36" s="1"/>
    </row>
    <row r="37" spans="1:172" ht="14.25" customHeight="1">
      <c r="A37" s="1"/>
      <c r="B37" s="1"/>
      <c r="C37" s="190"/>
      <c r="D37" s="190"/>
      <c r="E37" s="190"/>
      <c r="F37" s="190"/>
      <c r="G37" s="190"/>
      <c r="H37" s="1"/>
      <c r="I37" s="197"/>
      <c r="J37" s="1"/>
      <c r="K37" s="190"/>
      <c r="L37" s="190"/>
      <c r="M37" s="190"/>
      <c r="N37" s="190"/>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75" t="str">
        <f ca="1">language!A207</f>
        <v>ГОСТ 12815-80: Исполн. 7</v>
      </c>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5"/>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72"/>
      <c r="EI37" s="26">
        <v>4</v>
      </c>
      <c r="EJ37" s="25" t="str">
        <f ca="1">language!$A$349</f>
        <v>Объём (р.у.)</v>
      </c>
      <c r="EK37" s="25" t="s">
        <v>132</v>
      </c>
      <c r="EL37" s="25" t="s">
        <v>132</v>
      </c>
      <c r="EM37" s="25" t="s">
        <v>132</v>
      </c>
      <c r="EN37"/>
      <c r="EO37" s="26"/>
      <c r="EP37" s="819"/>
      <c r="EQ37" s="7" t="s">
        <v>406</v>
      </c>
      <c r="ER37" s="32" t="str">
        <f>CONCATENATE($EP$36,EQ37)</f>
        <v>14G2500</v>
      </c>
      <c r="ES37" s="40">
        <v>1800</v>
      </c>
      <c r="ET37" s="1"/>
      <c r="EU37" s="1"/>
      <c r="EV37" s="1"/>
      <c r="EW37" s="1"/>
      <c r="EX37" s="1"/>
      <c r="EY37" s="1"/>
      <c r="EZ37" s="1"/>
      <c r="FA37" s="1"/>
      <c r="FB37" s="1"/>
      <c r="FC37" s="1"/>
      <c r="FD37" s="1"/>
      <c r="FE37" s="1"/>
      <c r="FF37" s="1"/>
      <c r="FG37" s="1"/>
      <c r="FH37" s="1"/>
      <c r="FI37" s="1"/>
      <c r="FJ37" s="1"/>
      <c r="FK37" s="1"/>
      <c r="FL37" s="1"/>
      <c r="FM37" s="1"/>
      <c r="FN37" s="1"/>
      <c r="FO37" s="1"/>
      <c r="FP37" s="1"/>
    </row>
    <row r="38" spans="1:172" ht="14.25" customHeight="1">
      <c r="A38" s="1"/>
      <c r="B38" s="1"/>
      <c r="C38" s="190"/>
      <c r="D38" s="190"/>
      <c r="E38" s="190"/>
      <c r="F38" s="190"/>
      <c r="G38" s="190"/>
      <c r="H38" s="1"/>
      <c r="I38" s="197"/>
      <c r="J38" s="1"/>
      <c r="K38" s="190"/>
      <c r="L38" s="190"/>
      <c r="M38" s="190"/>
      <c r="N38" s="190"/>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75" t="str">
        <f ca="1">language!A208</f>
        <v>ГОСТ 12815-80: Исполн. 8</v>
      </c>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5"/>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72"/>
      <c r="EI38" s="26">
        <v>5</v>
      </c>
      <c r="EJ38" s="25" t="str">
        <f ca="1">language!A$352</f>
        <v>Статус Предупреждение</v>
      </c>
      <c r="EK38" s="25" t="str">
        <f ca="1">language!A$353</f>
        <v>Статус Сбой</v>
      </c>
      <c r="EL38" s="25" t="str">
        <f ca="1">language!A$354</f>
        <v>Статус Необх. тех. обслуживания</v>
      </c>
      <c r="EM38" s="25" t="str">
        <f ca="1">language!A$355</f>
        <v>Статус Направление расхода</v>
      </c>
      <c r="EN38"/>
      <c r="EO38" s="22"/>
      <c r="EP38" s="819"/>
      <c r="EQ38" s="7" t="s">
        <v>407</v>
      </c>
      <c r="ER38" s="32" t="str">
        <f>CONCATENATE($EP$36,EQ38)</f>
        <v>14G4000</v>
      </c>
      <c r="ES38" s="40">
        <v>1108</v>
      </c>
      <c r="ET38" s="1"/>
      <c r="EU38" s="1"/>
      <c r="EV38" s="1"/>
      <c r="EW38" s="1"/>
      <c r="EX38" s="1"/>
      <c r="EY38" s="1"/>
      <c r="EZ38" s="1"/>
      <c r="FA38" s="1"/>
      <c r="FB38" s="1"/>
      <c r="FC38" s="1"/>
      <c r="FD38" s="1"/>
      <c r="FE38" s="1"/>
      <c r="FF38" s="1"/>
      <c r="FG38" s="1"/>
      <c r="FH38" s="1"/>
      <c r="FI38" s="1"/>
      <c r="FJ38" s="1"/>
      <c r="FK38" s="1"/>
      <c r="FL38" s="1"/>
      <c r="FM38" s="1"/>
      <c r="FN38" s="1"/>
      <c r="FO38" s="1"/>
      <c r="FP38" s="1"/>
    </row>
    <row r="39" spans="1:172" ht="14.25" customHeight="1">
      <c r="A39" s="1"/>
      <c r="B39" s="1"/>
      <c r="C39" s="190"/>
      <c r="D39" s="190"/>
      <c r="E39" s="190"/>
      <c r="F39" s="190"/>
      <c r="G39" s="190"/>
      <c r="H39" s="1"/>
      <c r="I39" s="197"/>
      <c r="J39" s="1"/>
      <c r="K39" s="190"/>
      <c r="L39" s="190"/>
      <c r="M39" s="190"/>
      <c r="N39" s="190"/>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75" t="str">
        <f ca="1">language!A209</f>
        <v>ГОСТ 12815-80: Исполн. 9</v>
      </c>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72"/>
      <c r="EI39" s="26">
        <v>7</v>
      </c>
      <c r="EJ39" s="25" t="str">
        <f ca="1">language!$A$349</f>
        <v>Объём (р.у.)</v>
      </c>
      <c r="EK39" s="25" t="s">
        <v>132</v>
      </c>
      <c r="EL39" s="25" t="s">
        <v>132</v>
      </c>
      <c r="EM39" s="25" t="s">
        <v>132</v>
      </c>
      <c r="EN39"/>
      <c r="EO39" s="22"/>
      <c r="EP39" s="820"/>
      <c r="EQ39" s="8" t="s">
        <v>416</v>
      </c>
      <c r="ER39" s="41" t="str">
        <f>CONCATENATE($EP$36,EQ39)</f>
        <v>14G4000E</v>
      </c>
      <c r="ES39" s="42">
        <v>920</v>
      </c>
      <c r="ET39" s="1"/>
      <c r="EU39" s="1"/>
      <c r="EV39" s="1"/>
      <c r="EW39" s="1"/>
      <c r="EX39" s="1"/>
      <c r="EY39" s="1"/>
      <c r="EZ39" s="1"/>
      <c r="FA39" s="1"/>
      <c r="FB39" s="1"/>
      <c r="FC39" s="1"/>
      <c r="FD39" s="1"/>
      <c r="FE39" s="1"/>
      <c r="FF39" s="1"/>
      <c r="FG39" s="1"/>
      <c r="FH39" s="1"/>
      <c r="FI39" s="1"/>
      <c r="FJ39" s="1"/>
      <c r="FK39" s="1"/>
      <c r="FL39" s="1"/>
      <c r="FM39" s="1"/>
      <c r="FN39" s="1"/>
      <c r="FO39" s="1"/>
      <c r="FP39" s="1"/>
    </row>
    <row r="40" spans="1:172" ht="14.25" customHeight="1">
      <c r="A40" s="1"/>
      <c r="B40" s="1"/>
      <c r="C40" s="190"/>
      <c r="D40" s="190"/>
      <c r="E40" s="190"/>
      <c r="F40" s="190"/>
      <c r="G40" s="190"/>
      <c r="H40" s="1"/>
      <c r="I40" s="197"/>
      <c r="J40" s="1"/>
      <c r="K40" s="190"/>
      <c r="L40" s="190"/>
      <c r="M40" s="190"/>
      <c r="N40" s="190"/>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72"/>
      <c r="EI40" s="34">
        <v>8</v>
      </c>
      <c r="EJ40" s="25" t="str">
        <f ca="1">language!$A$346</f>
        <v>Объём (р.у.), нет импульсов если нет достоверного резултата</v>
      </c>
      <c r="EK40" s="25" t="str">
        <f ca="1">language!$A$347</f>
        <v>Объём (р.у.), направление потока виде свига по фазе +-90°</v>
      </c>
      <c r="EL40" s="25" t="str">
        <f ca="1">language!$A$348</f>
        <v>Объём (р.у.), при отрицательном направлени потока</v>
      </c>
      <c r="EM40" s="25" t="s">
        <v>132</v>
      </c>
      <c r="EN40"/>
      <c r="EO40" s="22"/>
      <c r="EP40" s="818">
        <v>16</v>
      </c>
      <c r="EQ40" s="241" t="s">
        <v>406</v>
      </c>
      <c r="ER40" s="38" t="str">
        <f>CONCATENATE($EP$40,EQ40)</f>
        <v>16G2500</v>
      </c>
      <c r="ES40" s="39">
        <v>1800</v>
      </c>
      <c r="ET40" s="1"/>
      <c r="EU40" s="1"/>
      <c r="EV40" s="1"/>
      <c r="EW40" s="1"/>
      <c r="EX40" s="1"/>
      <c r="EY40" s="1"/>
      <c r="EZ40" s="1"/>
      <c r="FA40" s="1"/>
      <c r="FB40" s="1"/>
      <c r="FC40" s="1"/>
      <c r="FD40" s="1"/>
      <c r="FE40" s="1"/>
      <c r="FF40" s="1"/>
      <c r="FG40" s="1"/>
      <c r="FH40" s="1"/>
      <c r="FI40" s="1"/>
      <c r="FJ40" s="1"/>
      <c r="FK40" s="1"/>
      <c r="FL40" s="1"/>
      <c r="FM40" s="1"/>
      <c r="FN40" s="1"/>
      <c r="FO40" s="1"/>
      <c r="FP40" s="1"/>
    </row>
    <row r="41" spans="1:172" ht="14.25" customHeight="1">
      <c r="A41" s="1"/>
      <c r="B41" s="1"/>
      <c r="C41" s="190"/>
      <c r="D41" s="190"/>
      <c r="E41" s="190"/>
      <c r="F41" s="190"/>
      <c r="G41" s="190"/>
      <c r="H41" s="1"/>
      <c r="I41" s="197"/>
      <c r="J41" s="1"/>
      <c r="K41" s="190"/>
      <c r="L41" s="190"/>
      <c r="M41" s="190"/>
      <c r="N41" s="190"/>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72"/>
      <c r="EI41" s="26">
        <v>9</v>
      </c>
      <c r="EJ41" s="25" t="str">
        <f ca="1">language!$A$346</f>
        <v>Объём (р.у.), нет импульсов если нет достоверного резултата</v>
      </c>
      <c r="EK41" s="25" t="str">
        <f ca="1">language!$A$347</f>
        <v>Объём (р.у.), направление потока виде свига по фазе +-90°</v>
      </c>
      <c r="EL41" s="25" t="str">
        <f ca="1">language!$A$348</f>
        <v>Объём (р.у.), при отрицательном направлени потока</v>
      </c>
      <c r="EM41" s="25" t="s">
        <v>132</v>
      </c>
      <c r="EN41"/>
      <c r="EO41" s="26"/>
      <c r="EP41" s="819"/>
      <c r="EQ41" s="7" t="s">
        <v>407</v>
      </c>
      <c r="ER41" s="32" t="str">
        <f>CONCATENATE($EP$40,EQ41)</f>
        <v>16G4000</v>
      </c>
      <c r="ES41" s="40">
        <v>1110</v>
      </c>
      <c r="ET41" s="1"/>
      <c r="EU41" s="1"/>
      <c r="EV41" s="1"/>
      <c r="EW41" s="1"/>
      <c r="EX41" s="1"/>
      <c r="EY41" s="1"/>
      <c r="EZ41" s="1"/>
      <c r="FA41" s="1"/>
      <c r="FB41" s="1"/>
      <c r="FC41" s="1"/>
      <c r="FD41" s="1"/>
      <c r="FE41" s="1"/>
      <c r="FF41" s="1"/>
      <c r="FG41" s="1"/>
      <c r="FH41" s="1"/>
      <c r="FI41" s="1"/>
      <c r="FJ41" s="1"/>
      <c r="FK41" s="1"/>
      <c r="FL41" s="1"/>
      <c r="FM41" s="1"/>
      <c r="FN41" s="1"/>
      <c r="FO41" s="1"/>
      <c r="FP41" s="1"/>
    </row>
    <row r="42" spans="1:172" ht="14.25" customHeight="1">
      <c r="A42" s="1"/>
      <c r="B42" s="1"/>
      <c r="C42" s="190"/>
      <c r="D42" s="190"/>
      <c r="E42" s="190"/>
      <c r="F42" s="190"/>
      <c r="G42" s="190"/>
      <c r="H42" s="1"/>
      <c r="I42" s="197"/>
      <c r="J42" s="1"/>
      <c r="K42" s="190"/>
      <c r="L42" s="190"/>
      <c r="M42" s="190"/>
      <c r="N42" s="190"/>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72"/>
      <c r="EI42" s="26">
        <v>10</v>
      </c>
      <c r="EJ42" s="25" t="str">
        <f ca="1">language!$A$346</f>
        <v>Объём (р.у.), нет импульсов если нет достоверного резултата</v>
      </c>
      <c r="EK42" s="25" t="str">
        <f ca="1">language!$A$347</f>
        <v>Объём (р.у.), направление потока виде свига по фазе +-90°</v>
      </c>
      <c r="EL42" s="25" t="str">
        <f ca="1">language!$A$348</f>
        <v>Объём (р.у.), при отрицательном направлени потока</v>
      </c>
      <c r="EM42" s="25" t="s">
        <v>132</v>
      </c>
      <c r="EN42"/>
      <c r="EO42" s="26"/>
      <c r="EP42" s="819"/>
      <c r="EQ42" s="7" t="s">
        <v>410</v>
      </c>
      <c r="ER42" s="32" t="str">
        <f>CONCATENATE($EP$40,EQ42)</f>
        <v>16G6500</v>
      </c>
      <c r="ES42" s="40">
        <v>720</v>
      </c>
      <c r="ET42" s="1"/>
      <c r="EU42" s="1"/>
      <c r="EV42" s="1"/>
      <c r="EW42" s="1"/>
      <c r="EX42" s="1"/>
      <c r="EY42" s="1"/>
      <c r="EZ42" s="1"/>
      <c r="FA42" s="1"/>
      <c r="FB42" s="1"/>
      <c r="FC42" s="1"/>
      <c r="FD42" s="1"/>
      <c r="FE42" s="1"/>
      <c r="FF42" s="1"/>
      <c r="FG42" s="1"/>
      <c r="FH42" s="1"/>
      <c r="FI42" s="1"/>
      <c r="FJ42" s="1"/>
      <c r="FK42" s="1"/>
      <c r="FL42" s="1"/>
      <c r="FM42" s="1"/>
      <c r="FN42" s="1"/>
      <c r="FO42" s="1"/>
      <c r="FP42" s="1"/>
    </row>
    <row r="43" spans="1:172" ht="14.25" customHeight="1">
      <c r="A43" s="1"/>
      <c r="B43" s="1"/>
      <c r="C43" s="190"/>
      <c r="D43" s="190"/>
      <c r="E43" s="190"/>
      <c r="F43" s="190"/>
      <c r="G43" s="190"/>
      <c r="H43" s="1"/>
      <c r="I43" s="197"/>
      <c r="J43" s="1"/>
      <c r="K43" s="190"/>
      <c r="L43" s="190"/>
      <c r="M43" s="190"/>
      <c r="N43" s="190"/>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72"/>
      <c r="EI43" s="26">
        <v>11</v>
      </c>
      <c r="EJ43" s="25" t="str">
        <f ca="1">language!$A$346</f>
        <v>Объём (р.у.), нет импульсов если нет достоверного резултата</v>
      </c>
      <c r="EK43" s="25" t="str">
        <f ca="1">language!$A$347</f>
        <v>Объём (р.у.), направление потока виде свига по фазе +-90°</v>
      </c>
      <c r="EL43" s="25" t="str">
        <f ca="1">language!$A$348</f>
        <v>Объём (р.у.), при отрицательном направлени потока</v>
      </c>
      <c r="EM43" s="25" t="s">
        <v>132</v>
      </c>
      <c r="EN43"/>
      <c r="EO43" s="22"/>
      <c r="EP43" s="820"/>
      <c r="EQ43" s="8" t="s">
        <v>417</v>
      </c>
      <c r="ER43" s="41" t="str">
        <f>CONCATENATE($EP$40,EQ43)</f>
        <v>16G6500E</v>
      </c>
      <c r="ES43" s="42">
        <v>600</v>
      </c>
      <c r="ET43" s="1"/>
      <c r="EU43" s="1"/>
      <c r="EV43" s="1"/>
      <c r="EW43" s="1"/>
      <c r="EX43" s="1"/>
      <c r="EY43" s="1"/>
      <c r="EZ43" s="1"/>
      <c r="FA43" s="1"/>
      <c r="FB43" s="1"/>
      <c r="FC43" s="1"/>
      <c r="FD43" s="1"/>
      <c r="FE43" s="1"/>
      <c r="FF43" s="1"/>
      <c r="FG43" s="1"/>
      <c r="FH43" s="1"/>
      <c r="FI43" s="1"/>
      <c r="FJ43" s="1"/>
      <c r="FK43" s="1"/>
      <c r="FL43" s="1"/>
      <c r="FM43" s="1"/>
      <c r="FN43" s="1"/>
      <c r="FO43" s="1"/>
      <c r="FP43" s="1"/>
    </row>
    <row r="44" spans="1:172" ht="14.25" customHeight="1">
      <c r="A44" s="1"/>
      <c r="B44" s="1"/>
      <c r="C44" s="190"/>
      <c r="D44" s="190"/>
      <c r="E44" s="190"/>
      <c r="F44" s="190"/>
      <c r="G44" s="190"/>
      <c r="H44" s="1"/>
      <c r="I44" s="197"/>
      <c r="J44" s="1"/>
      <c r="K44" s="190"/>
      <c r="L44" s="190"/>
      <c r="M44" s="190"/>
      <c r="N44" s="190"/>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26"/>
      <c r="EJ44" s="25"/>
      <c r="EK44" s="25"/>
      <c r="EL44" s="25"/>
      <c r="EM44" s="25"/>
      <c r="EN44"/>
      <c r="EO44" s="22"/>
      <c r="EP44" s="818">
        <v>18</v>
      </c>
      <c r="EQ44" s="241" t="s">
        <v>407</v>
      </c>
      <c r="ER44" s="38" t="str">
        <f>CONCATENATE($EP$44,EQ44)</f>
        <v>18G4000</v>
      </c>
      <c r="ES44" s="39">
        <v>1110</v>
      </c>
      <c r="ET44" s="1"/>
      <c r="EU44" s="1"/>
      <c r="EV44" s="1"/>
      <c r="EW44" s="1"/>
      <c r="EX44" s="1"/>
      <c r="EY44" s="1"/>
      <c r="EZ44" s="1"/>
      <c r="FA44" s="1"/>
      <c r="FB44" s="1"/>
      <c r="FC44" s="1"/>
      <c r="FD44" s="1"/>
      <c r="FE44" s="1"/>
      <c r="FF44" s="1"/>
      <c r="FG44" s="1"/>
      <c r="FH44" s="1"/>
      <c r="FI44" s="1"/>
      <c r="FJ44" s="1"/>
      <c r="FK44" s="1"/>
      <c r="FL44" s="1"/>
      <c r="FM44" s="1"/>
      <c r="FN44" s="1"/>
      <c r="FO44" s="1"/>
      <c r="FP44" s="1"/>
    </row>
    <row r="45" spans="1:172" ht="14.25" customHeight="1">
      <c r="A45" s="1"/>
      <c r="B45" s="1"/>
      <c r="C45" s="190"/>
      <c r="D45" s="190"/>
      <c r="E45" s="190"/>
      <c r="F45" s="190"/>
      <c r="G45" s="190"/>
      <c r="H45" s="1"/>
      <c r="I45" s="197"/>
      <c r="J45" s="1"/>
      <c r="K45" s="190"/>
      <c r="L45" s="190"/>
      <c r="M45" s="190"/>
      <c r="N45" s="190"/>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21" t="s">
        <v>424</v>
      </c>
      <c r="EJ45" s="25"/>
      <c r="EK45" s="25"/>
      <c r="EL45" s="25"/>
      <c r="EM45" s="25"/>
      <c r="EN45"/>
      <c r="EO45" s="22"/>
      <c r="EP45" s="819"/>
      <c r="EQ45" s="7" t="s">
        <v>410</v>
      </c>
      <c r="ER45" s="32" t="str">
        <f>CONCATENATE($EP$44,EQ45)</f>
        <v>18G6500</v>
      </c>
      <c r="ES45" s="40">
        <v>720</v>
      </c>
      <c r="ET45" s="1"/>
      <c r="EU45" s="1"/>
      <c r="EV45" s="1"/>
      <c r="EW45" s="1"/>
      <c r="EX45" s="1"/>
      <c r="EY45" s="1"/>
      <c r="EZ45" s="1"/>
      <c r="FA45" s="1"/>
      <c r="FB45" s="1"/>
      <c r="FC45" s="1"/>
      <c r="FD45" s="1"/>
      <c r="FE45" s="1"/>
      <c r="FF45" s="1"/>
      <c r="FG45" s="1"/>
      <c r="FH45" s="1"/>
      <c r="FI45" s="1"/>
      <c r="FJ45" s="1"/>
      <c r="FK45" s="1"/>
      <c r="FL45" s="1"/>
      <c r="FM45" s="1"/>
      <c r="FN45" s="1"/>
      <c r="FO45" s="1"/>
      <c r="FP45" s="1"/>
    </row>
    <row r="46" spans="1:172" ht="14.25" customHeight="1">
      <c r="A46" s="1"/>
      <c r="B46" s="1"/>
      <c r="C46" s="190"/>
      <c r="D46" s="190"/>
      <c r="E46" s="190"/>
      <c r="F46" s="190"/>
      <c r="G46" s="190"/>
      <c r="H46" s="1"/>
      <c r="I46" s="197"/>
      <c r="J46" s="1"/>
      <c r="K46" s="190"/>
      <c r="L46" s="190"/>
      <c r="M46" s="190"/>
      <c r="N46" s="190"/>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27" t="s">
        <v>419</v>
      </c>
      <c r="EJ46"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46" s="31"/>
      <c r="EL46" s="31"/>
      <c r="EM46" s="31"/>
      <c r="EN46"/>
      <c r="EO46" s="22"/>
      <c r="EP46" s="820"/>
      <c r="EQ46" s="8" t="s">
        <v>408</v>
      </c>
      <c r="ER46" s="41" t="str">
        <f>CONCATENATE($EP$44,EQ46)</f>
        <v>18G10000</v>
      </c>
      <c r="ES46" s="42">
        <v>450</v>
      </c>
      <c r="ET46" s="1"/>
      <c r="EU46" s="1"/>
      <c r="EV46" s="1"/>
      <c r="EW46" s="1"/>
      <c r="EX46" s="1"/>
      <c r="EY46" s="1"/>
      <c r="EZ46" s="1"/>
      <c r="FA46" s="1"/>
      <c r="FB46" s="1"/>
      <c r="FC46" s="1"/>
      <c r="FD46" s="1"/>
      <c r="FE46" s="1"/>
      <c r="FF46" s="1"/>
      <c r="FG46" s="1"/>
      <c r="FH46" s="1"/>
      <c r="FI46" s="1"/>
      <c r="FJ46" s="1"/>
      <c r="FK46" s="1"/>
      <c r="FL46" s="1"/>
      <c r="FM46" s="1"/>
      <c r="FN46" s="1"/>
      <c r="FO46" s="1"/>
      <c r="FP46" s="1"/>
    </row>
    <row r="47" spans="1:172" ht="14.25" customHeight="1">
      <c r="A47" s="1"/>
      <c r="B47" s="1"/>
      <c r="C47" s="190"/>
      <c r="D47" s="190"/>
      <c r="E47" s="190"/>
      <c r="F47" s="190"/>
      <c r="G47" s="190"/>
      <c r="H47" s="1"/>
      <c r="I47" s="197"/>
      <c r="J47" s="1"/>
      <c r="K47" s="190"/>
      <c r="L47" s="190"/>
      <c r="M47" s="190"/>
      <c r="N47" s="190"/>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23" t="s">
        <v>420</v>
      </c>
      <c r="EJ47" s="24" t="e">
        <f>VLOOKUP($EJ$3,$EI48:$EM57,2,FALSE)</f>
        <v>#N/A</v>
      </c>
      <c r="EK47" s="24" t="e">
        <f>VLOOKUP($EJ$3,$EI48:$EM57,3,FALSE)</f>
        <v>#N/A</v>
      </c>
      <c r="EL47" s="24" t="e">
        <f>VLOOKUP($EJ$3,$EI48:$EM57,4,FALSE)</f>
        <v>#N/A</v>
      </c>
      <c r="EM47" s="24" t="e">
        <f>VLOOKUP($EJ$3,$EI48:$EM57,5,FALSE)</f>
        <v>#N/A</v>
      </c>
      <c r="EN47"/>
      <c r="EO47" s="22"/>
      <c r="EP47" s="818">
        <v>20</v>
      </c>
      <c r="EQ47" s="241" t="s">
        <v>407</v>
      </c>
      <c r="ER47" s="38" t="str">
        <f>CONCATENATE($EP$47,EQ47)</f>
        <v>20G4000</v>
      </c>
      <c r="ES47" s="39">
        <v>1110</v>
      </c>
      <c r="ET47" s="1"/>
      <c r="EU47" s="1"/>
      <c r="EV47" s="1"/>
      <c r="EW47" s="1"/>
      <c r="EX47" s="1"/>
      <c r="EY47" s="1"/>
      <c r="EZ47" s="1"/>
      <c r="FA47" s="1"/>
      <c r="FB47" s="1"/>
      <c r="FC47" s="1"/>
      <c r="FD47" s="1"/>
      <c r="FE47" s="1"/>
      <c r="FF47" s="1"/>
      <c r="FG47" s="1"/>
      <c r="FH47" s="1"/>
      <c r="FI47" s="1"/>
      <c r="FJ47" s="1"/>
      <c r="FK47" s="1"/>
      <c r="FL47" s="1"/>
      <c r="FM47" s="1"/>
      <c r="FN47" s="1"/>
      <c r="FO47" s="1"/>
      <c r="FP47" s="1"/>
    </row>
    <row r="48" spans="1:172" ht="14.25" customHeight="1">
      <c r="A48" s="1"/>
      <c r="B48" s="1"/>
      <c r="C48" s="190"/>
      <c r="D48" s="190"/>
      <c r="E48" s="190"/>
      <c r="F48" s="190"/>
      <c r="G48" s="190"/>
      <c r="H48" s="1"/>
      <c r="I48" s="197"/>
      <c r="J48" s="1"/>
      <c r="K48" s="190"/>
      <c r="L48" s="190"/>
      <c r="M48" s="190"/>
      <c r="N48" s="190"/>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26">
        <v>1</v>
      </c>
      <c r="EJ48" s="25" t="str">
        <f ca="1">language!A$352</f>
        <v>Статус Предупреждение</v>
      </c>
      <c r="EK48" s="25" t="str">
        <f ca="1">language!A$353</f>
        <v>Статус Сбой</v>
      </c>
      <c r="EL48" s="25" t="str">
        <f ca="1">language!A$354</f>
        <v>Статус Необх. тех. обслуживания</v>
      </c>
      <c r="EM48" s="25" t="str">
        <f ca="1">language!A$355</f>
        <v>Статус Направление расхода</v>
      </c>
      <c r="EN48"/>
      <c r="EO48" s="26"/>
      <c r="EP48" s="819"/>
      <c r="EQ48" s="7" t="s">
        <v>410</v>
      </c>
      <c r="ER48" s="32" t="str">
        <f>CONCATENATE($EP$47,EQ48)</f>
        <v>20G6500</v>
      </c>
      <c r="ES48" s="40">
        <v>720</v>
      </c>
      <c r="ET48" s="1"/>
      <c r="EU48" s="1"/>
      <c r="EV48" s="1"/>
      <c r="EW48" s="1"/>
      <c r="EX48" s="1"/>
      <c r="EY48" s="1"/>
      <c r="EZ48" s="1"/>
      <c r="FA48" s="1"/>
      <c r="FB48" s="1"/>
      <c r="FC48" s="1"/>
      <c r="FD48" s="1"/>
      <c r="FE48" s="1"/>
      <c r="FF48" s="1"/>
      <c r="FG48" s="1"/>
      <c r="FH48" s="1"/>
      <c r="FI48" s="1"/>
      <c r="FJ48" s="1"/>
      <c r="FK48" s="1"/>
      <c r="FL48" s="1"/>
      <c r="FM48" s="1"/>
      <c r="FN48" s="1"/>
      <c r="FO48" s="1"/>
      <c r="FP48" s="1"/>
    </row>
    <row r="49" spans="1:172" ht="14.25" customHeight="1">
      <c r="A49" s="1"/>
      <c r="B49" s="1"/>
      <c r="C49" s="190"/>
      <c r="D49" s="190"/>
      <c r="E49" s="190"/>
      <c r="F49" s="190"/>
      <c r="G49" s="190"/>
      <c r="H49" s="1"/>
      <c r="I49" s="197"/>
      <c r="J49" s="1"/>
      <c r="K49" s="190"/>
      <c r="L49" s="190"/>
      <c r="M49" s="190"/>
      <c r="N49" s="190"/>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26">
        <v>2</v>
      </c>
      <c r="EJ49" s="25" t="str">
        <f ca="1">language!A$352</f>
        <v>Статус Предупреждение</v>
      </c>
      <c r="EK49" s="25" t="str">
        <f ca="1">language!A$353</f>
        <v>Статус Сбой</v>
      </c>
      <c r="EL49" s="25" t="str">
        <f ca="1">language!A$354</f>
        <v>Статус Необх. тех. обслуживания</v>
      </c>
      <c r="EM49" s="25" t="str">
        <f ca="1">language!A$355</f>
        <v>Статус Направление расхода</v>
      </c>
      <c r="EN49" s="25"/>
      <c r="EO49" s="22"/>
      <c r="EP49" s="819"/>
      <c r="EQ49" s="7" t="s">
        <v>408</v>
      </c>
      <c r="ER49" s="32" t="str">
        <f>CONCATENATE($EP$47,EQ49)</f>
        <v>20G10000</v>
      </c>
      <c r="ES49" s="40">
        <v>450</v>
      </c>
      <c r="ET49" s="1"/>
      <c r="EU49" s="1"/>
      <c r="EV49" s="1"/>
      <c r="EW49" s="1"/>
      <c r="EX49" s="1"/>
      <c r="EY49" s="1"/>
      <c r="EZ49" s="1"/>
      <c r="FA49" s="1"/>
      <c r="FB49" s="1"/>
      <c r="FC49" s="1"/>
      <c r="FD49" s="1"/>
      <c r="FE49" s="1"/>
      <c r="FF49" s="1"/>
      <c r="FG49" s="1"/>
      <c r="FH49" s="1"/>
      <c r="FI49" s="1"/>
      <c r="FJ49" s="1"/>
      <c r="FK49" s="1"/>
      <c r="FL49" s="1"/>
      <c r="FM49" s="1"/>
      <c r="FN49" s="1"/>
      <c r="FO49" s="1"/>
      <c r="FP49" s="1"/>
    </row>
    <row r="50" spans="1:172" ht="14.25" customHeight="1">
      <c r="A50" s="1"/>
      <c r="B50" s="1"/>
      <c r="C50" s="190"/>
      <c r="D50" s="190"/>
      <c r="E50" s="190"/>
      <c r="F50" s="190"/>
      <c r="G50" s="190"/>
      <c r="H50" s="1"/>
      <c r="I50" s="197"/>
      <c r="J50" s="1"/>
      <c r="K50" s="190"/>
      <c r="L50" s="190"/>
      <c r="M50" s="190"/>
      <c r="N50" s="190"/>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26">
        <v>3</v>
      </c>
      <c r="EJ50" s="25" t="str">
        <f ca="1">language!A$352</f>
        <v>Статус Предупреждение</v>
      </c>
      <c r="EK50" s="25" t="str">
        <f ca="1">language!A$353</f>
        <v>Статус Сбой</v>
      </c>
      <c r="EL50" s="25" t="str">
        <f ca="1">language!A$354</f>
        <v>Статус Необх. тех. обслуживания</v>
      </c>
      <c r="EM50" s="25" t="str">
        <f ca="1">language!A$355</f>
        <v>Статус Направление расхода</v>
      </c>
      <c r="EN50" s="25"/>
      <c r="EO50" s="22"/>
      <c r="EP50" s="820"/>
      <c r="EQ50" s="8" t="s">
        <v>411</v>
      </c>
      <c r="ER50" s="41" t="str">
        <f>CONCATENATE($EP$47,EQ50)</f>
        <v>20G10000E</v>
      </c>
      <c r="ES50" s="42">
        <v>360</v>
      </c>
      <c r="ET50" s="1"/>
      <c r="EU50" s="1"/>
      <c r="EV50" s="1"/>
      <c r="EW50" s="1"/>
      <c r="EX50" s="1"/>
      <c r="EY50" s="1"/>
      <c r="EZ50" s="1"/>
      <c r="FA50" s="1"/>
      <c r="FB50" s="1"/>
      <c r="FC50" s="1"/>
      <c r="FD50" s="1"/>
      <c r="FE50" s="1"/>
      <c r="FF50" s="1"/>
      <c r="FG50" s="1"/>
      <c r="FH50" s="1"/>
      <c r="FI50" s="1"/>
      <c r="FJ50" s="1"/>
      <c r="FK50" s="1"/>
      <c r="FL50" s="1"/>
      <c r="FM50" s="1"/>
      <c r="FN50" s="1"/>
      <c r="FO50" s="1"/>
      <c r="FP50" s="1"/>
    </row>
    <row r="51" spans="1:172" ht="14.25" customHeight="1">
      <c r="A51" s="1"/>
      <c r="B51" s="1"/>
      <c r="C51" s="190"/>
      <c r="D51" s="190"/>
      <c r="E51" s="190"/>
      <c r="F51" s="190"/>
      <c r="G51" s="190"/>
      <c r="H51" s="1"/>
      <c r="I51" s="197"/>
      <c r="J51" s="1"/>
      <c r="K51" s="190"/>
      <c r="L51" s="190"/>
      <c r="M51" s="190"/>
      <c r="N51" s="19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26">
        <v>4</v>
      </c>
      <c r="EJ51" s="25" t="str">
        <f ca="1">language!A$352</f>
        <v>Статус Предупреждение</v>
      </c>
      <c r="EK51" s="25" t="str">
        <f ca="1">language!A$353</f>
        <v>Статус Сбой</v>
      </c>
      <c r="EL51" s="25" t="str">
        <f ca="1">language!A$354</f>
        <v>Статус Необх. тех. обслуживания</v>
      </c>
      <c r="EM51" s="25" t="str">
        <f ca="1">language!A$355</f>
        <v>Статус Направление расхода</v>
      </c>
      <c r="EN51" s="25"/>
      <c r="EO51" s="22"/>
      <c r="EP51" s="818" t="s">
        <v>0</v>
      </c>
      <c r="EQ51" s="241" t="s">
        <v>410</v>
      </c>
      <c r="ER51" s="38" t="str">
        <f>CONCATENATE($EP$51,EQ51)</f>
        <v>22G6500</v>
      </c>
      <c r="ES51" s="242">
        <v>720</v>
      </c>
      <c r="ET51" s="1"/>
      <c r="EU51" s="1"/>
      <c r="EV51" s="1"/>
      <c r="EW51" s="1"/>
      <c r="EX51" s="1"/>
      <c r="EY51" s="1"/>
      <c r="EZ51" s="1"/>
      <c r="FA51" s="1"/>
      <c r="FB51" s="1"/>
      <c r="FC51" s="1"/>
      <c r="FD51" s="1"/>
      <c r="FE51" s="1"/>
      <c r="FF51" s="1"/>
      <c r="FG51" s="1"/>
      <c r="FH51" s="1"/>
      <c r="FI51" s="1"/>
      <c r="FJ51" s="1"/>
      <c r="FK51" s="1"/>
      <c r="FL51" s="1"/>
      <c r="FM51" s="1"/>
      <c r="FN51" s="1"/>
      <c r="FO51" s="1"/>
      <c r="FP51" s="1"/>
    </row>
    <row r="52" spans="1:172" ht="14.25" customHeight="1">
      <c r="A52" s="1"/>
      <c r="B52" s="1"/>
      <c r="C52" s="190"/>
      <c r="D52" s="190"/>
      <c r="E52" s="190"/>
      <c r="F52" s="190"/>
      <c r="G52" s="190"/>
      <c r="H52" s="1"/>
      <c r="I52" s="197"/>
      <c r="J52" s="1"/>
      <c r="K52" s="190"/>
      <c r="L52" s="190"/>
      <c r="M52" s="190"/>
      <c r="N52" s="19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26">
        <v>5</v>
      </c>
      <c r="EJ52" s="25" t="str">
        <f ca="1">language!A$352</f>
        <v>Статус Предупреждение</v>
      </c>
      <c r="EK52" s="25" t="str">
        <f ca="1">language!A$353</f>
        <v>Статус Сбой</v>
      </c>
      <c r="EL52" s="25" t="str">
        <f ca="1">language!A$354</f>
        <v>Статус Необх. тех. обслуживания</v>
      </c>
      <c r="EM52" s="25" t="str">
        <f ca="1">language!A$355</f>
        <v>Статус Направление расхода</v>
      </c>
      <c r="EN52" s="25"/>
      <c r="EO52" s="26"/>
      <c r="EP52" s="819"/>
      <c r="EQ52" s="7" t="s">
        <v>408</v>
      </c>
      <c r="ER52" s="32" t="str">
        <f>CONCATENATE($EP$51,EQ52)</f>
        <v>22G10000</v>
      </c>
      <c r="ES52" s="243">
        <v>450</v>
      </c>
      <c r="ET52" s="1"/>
      <c r="EU52" s="1"/>
      <c r="EV52" s="1"/>
      <c r="EW52" s="1"/>
      <c r="EX52" s="1"/>
      <c r="EY52" s="1"/>
      <c r="EZ52" s="1"/>
      <c r="FA52" s="1"/>
      <c r="FB52" s="1"/>
      <c r="FC52" s="1"/>
      <c r="FD52" s="1"/>
      <c r="FE52" s="1"/>
      <c r="FF52" s="1"/>
      <c r="FG52" s="1"/>
      <c r="FH52" s="1"/>
      <c r="FI52" s="1"/>
      <c r="FJ52" s="1"/>
      <c r="FK52" s="1"/>
      <c r="FL52" s="1"/>
      <c r="FM52" s="1"/>
      <c r="FN52" s="1"/>
      <c r="FO52" s="1"/>
      <c r="FP52" s="1"/>
    </row>
    <row r="53" spans="1:172" ht="14.25" customHeight="1">
      <c r="A53" s="1"/>
      <c r="B53" s="1"/>
      <c r="C53" s="190"/>
      <c r="D53" s="190"/>
      <c r="E53" s="190"/>
      <c r="F53" s="190"/>
      <c r="G53" s="190"/>
      <c r="H53" s="1"/>
      <c r="I53" s="197"/>
      <c r="J53" s="1"/>
      <c r="K53" s="190"/>
      <c r="L53" s="190"/>
      <c r="M53" s="190"/>
      <c r="N53" s="19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26">
        <v>7</v>
      </c>
      <c r="EJ53" s="25" t="str">
        <f ca="1">language!A$352</f>
        <v>Статус Предупреждение</v>
      </c>
      <c r="EK53" s="25" t="str">
        <f ca="1">language!A$353</f>
        <v>Статус Сбой</v>
      </c>
      <c r="EL53" s="25" t="str">
        <f ca="1">language!A$354</f>
        <v>Статус Необх. тех. обслуживания</v>
      </c>
      <c r="EM53" s="25" t="str">
        <f ca="1">language!A$355</f>
        <v>Статус Направление расхода</v>
      </c>
      <c r="EN53" s="25"/>
      <c r="EO53" s="26"/>
      <c r="EP53" s="820"/>
      <c r="EQ53" s="8" t="s">
        <v>409</v>
      </c>
      <c r="ER53" s="41" t="str">
        <f>CONCATENATE($EP$51,EQ53)</f>
        <v>22G16000</v>
      </c>
      <c r="ES53" s="244">
        <v>288</v>
      </c>
      <c r="ET53" s="1"/>
      <c r="EU53" s="1"/>
      <c r="EV53" s="1"/>
      <c r="EW53" s="1"/>
      <c r="EX53" s="1"/>
      <c r="EY53" s="1"/>
      <c r="EZ53" s="1"/>
      <c r="FA53" s="1"/>
      <c r="FB53" s="1"/>
      <c r="FC53" s="1"/>
      <c r="FD53" s="1"/>
      <c r="FE53" s="1"/>
      <c r="FF53" s="1"/>
      <c r="FG53" s="1"/>
      <c r="FH53" s="1"/>
      <c r="FI53" s="1"/>
      <c r="FJ53" s="1"/>
      <c r="FK53" s="1"/>
      <c r="FL53" s="1"/>
      <c r="FM53" s="1"/>
      <c r="FN53" s="1"/>
      <c r="FO53" s="1"/>
      <c r="FP53" s="1"/>
    </row>
    <row r="54" spans="1:172" ht="14.25" customHeight="1">
      <c r="A54" s="1"/>
      <c r="B54" s="1"/>
      <c r="C54" s="190"/>
      <c r="D54" s="190"/>
      <c r="E54" s="190"/>
      <c r="F54" s="190"/>
      <c r="G54" s="190"/>
      <c r="H54" s="1"/>
      <c r="I54" s="197"/>
      <c r="J54" s="1"/>
      <c r="K54" s="190"/>
      <c r="L54" s="190"/>
      <c r="M54" s="190"/>
      <c r="N54" s="19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34">
        <v>8</v>
      </c>
      <c r="EJ54" s="25" t="str">
        <f ca="1">language!A$352</f>
        <v>Статус Предупреждение</v>
      </c>
      <c r="EK54" s="25" t="str">
        <f ca="1">language!A$353</f>
        <v>Статус Сбой</v>
      </c>
      <c r="EL54" s="25" t="str">
        <f ca="1">language!A$354</f>
        <v>Статус Необх. тех. обслуживания</v>
      </c>
      <c r="EM54" s="25" t="str">
        <f ca="1">language!A$355</f>
        <v>Статус Направление расхода</v>
      </c>
      <c r="EN54" s="25"/>
      <c r="EO54" s="22"/>
      <c r="EP54" s="818">
        <v>24</v>
      </c>
      <c r="EQ54" s="241" t="s">
        <v>410</v>
      </c>
      <c r="ER54" s="38" t="str">
        <f>CONCATENATE($EP$54,EQ54)</f>
        <v>24G6500</v>
      </c>
      <c r="ES54" s="242">
        <v>720</v>
      </c>
      <c r="ET54" s="1"/>
      <c r="EU54" s="1"/>
      <c r="EV54" s="1"/>
      <c r="EW54" s="1"/>
      <c r="EX54" s="1"/>
      <c r="EY54" s="1"/>
      <c r="EZ54" s="1"/>
      <c r="FA54" s="1"/>
      <c r="FB54" s="1"/>
      <c r="FC54" s="1"/>
      <c r="FD54" s="1"/>
      <c r="FE54" s="1"/>
      <c r="FF54" s="1"/>
      <c r="FG54" s="1"/>
      <c r="FH54" s="1"/>
      <c r="FI54" s="1"/>
      <c r="FJ54" s="1"/>
      <c r="FK54" s="1"/>
      <c r="FL54" s="1"/>
      <c r="FM54" s="1"/>
      <c r="FN54" s="1"/>
      <c r="FO54" s="1"/>
      <c r="FP54" s="1"/>
    </row>
    <row r="55" spans="1:172" ht="14.25" customHeight="1">
      <c r="A55" s="1"/>
      <c r="B55" s="1"/>
      <c r="C55" s="190"/>
      <c r="D55" s="190"/>
      <c r="E55" s="190"/>
      <c r="F55" s="190"/>
      <c r="G55" s="190"/>
      <c r="H55" s="1"/>
      <c r="I55" s="197"/>
      <c r="J55" s="1"/>
      <c r="K55" s="190"/>
      <c r="L55" s="190"/>
      <c r="M55" s="190"/>
      <c r="N55" s="19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26">
        <v>9</v>
      </c>
      <c r="EJ55" s="25" t="str">
        <f ca="1">language!A$352</f>
        <v>Статус Предупреждение</v>
      </c>
      <c r="EK55" s="25" t="str">
        <f ca="1">language!A$353</f>
        <v>Статус Сбой</v>
      </c>
      <c r="EL55" s="25" t="str">
        <f ca="1">language!A$354</f>
        <v>Статус Необх. тех. обслуживания</v>
      </c>
      <c r="EM55" s="25" t="str">
        <f ca="1">language!A$355</f>
        <v>Статус Направление расхода</v>
      </c>
      <c r="EN55" s="25"/>
      <c r="EO55" s="1"/>
      <c r="EP55" s="819"/>
      <c r="EQ55" s="7" t="s">
        <v>408</v>
      </c>
      <c r="ER55" s="32" t="str">
        <f>CONCATENATE($EP$54,EQ55)</f>
        <v>24G10000</v>
      </c>
      <c r="ES55" s="243">
        <v>450</v>
      </c>
      <c r="ET55" s="1"/>
      <c r="EU55" s="1"/>
      <c r="EV55" s="1"/>
      <c r="EW55" s="1"/>
      <c r="EX55" s="1"/>
      <c r="EY55" s="1"/>
      <c r="EZ55" s="1"/>
      <c r="FA55" s="1"/>
      <c r="FB55" s="1"/>
      <c r="FC55" s="1"/>
      <c r="FD55" s="1"/>
      <c r="FE55" s="1"/>
      <c r="FF55" s="1"/>
      <c r="FG55" s="1"/>
      <c r="FH55" s="1"/>
      <c r="FI55" s="1"/>
      <c r="FJ55" s="1"/>
      <c r="FK55" s="1"/>
      <c r="FL55" s="1"/>
      <c r="FM55" s="1"/>
      <c r="FN55" s="1"/>
      <c r="FO55" s="1"/>
      <c r="FP55" s="1"/>
    </row>
    <row r="56" spans="1:172" ht="14.25" customHeight="1">
      <c r="A56" s="1"/>
      <c r="B56" s="1"/>
      <c r="C56" s="190"/>
      <c r="D56" s="190"/>
      <c r="E56" s="190"/>
      <c r="F56" s="190"/>
      <c r="G56" s="190"/>
      <c r="H56" s="1"/>
      <c r="I56" s="197"/>
      <c r="J56" s="1"/>
      <c r="K56" s="190"/>
      <c r="L56" s="190"/>
      <c r="M56" s="190"/>
      <c r="N56" s="19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26">
        <v>10</v>
      </c>
      <c r="EJ56" s="25" t="str">
        <f ca="1">language!A$352</f>
        <v>Статус Предупреждение</v>
      </c>
      <c r="EK56" s="25" t="str">
        <f ca="1">language!A$353</f>
        <v>Статус Сбой</v>
      </c>
      <c r="EL56" s="25" t="str">
        <f ca="1">language!A$354</f>
        <v>Статус Необх. тех. обслуживания</v>
      </c>
      <c r="EM56" s="25" t="str">
        <f ca="1">language!A$355</f>
        <v>Статус Направление расхода</v>
      </c>
      <c r="EN56" s="25"/>
      <c r="EO56" s="1"/>
      <c r="EP56" s="819"/>
      <c r="EQ56" s="7" t="s">
        <v>409</v>
      </c>
      <c r="ER56" s="32" t="str">
        <f>CONCATENATE($EP$54,EQ56)</f>
        <v>24G16000</v>
      </c>
      <c r="ES56" s="243">
        <v>288</v>
      </c>
      <c r="ET56" s="1"/>
      <c r="EU56" s="1"/>
      <c r="EV56" s="1"/>
      <c r="EW56" s="1"/>
      <c r="EX56" s="1"/>
      <c r="EY56" s="1"/>
      <c r="EZ56" s="1"/>
      <c r="FA56" s="1"/>
      <c r="FB56" s="1"/>
      <c r="FC56" s="1"/>
      <c r="FD56" s="1"/>
      <c r="FE56" s="1"/>
      <c r="FF56" s="1"/>
      <c r="FG56" s="1"/>
      <c r="FH56" s="1"/>
      <c r="FI56" s="1"/>
      <c r="FJ56" s="1"/>
      <c r="FK56" s="1"/>
      <c r="FL56" s="1"/>
      <c r="FM56" s="1"/>
      <c r="FN56" s="1"/>
      <c r="FO56" s="1"/>
      <c r="FP56" s="1"/>
    </row>
    <row r="57" spans="1:172" ht="14.25" customHeight="1">
      <c r="A57" s="1"/>
      <c r="B57" s="1"/>
      <c r="C57" s="190"/>
      <c r="D57" s="190"/>
      <c r="E57" s="190"/>
      <c r="F57" s="190"/>
      <c r="G57" s="190"/>
      <c r="H57" s="1"/>
      <c r="I57" s="197"/>
      <c r="J57" s="1"/>
      <c r="K57" s="190"/>
      <c r="L57" s="190"/>
      <c r="M57" s="190"/>
      <c r="N57" s="19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26">
        <v>11</v>
      </c>
      <c r="EJ57" s="25" t="str">
        <f ca="1">language!A$352</f>
        <v>Статус Предупреждение</v>
      </c>
      <c r="EK57" s="25" t="str">
        <f ca="1">language!A$353</f>
        <v>Статус Сбой</v>
      </c>
      <c r="EL57" s="25" t="str">
        <f ca="1">language!A$354</f>
        <v>Статус Необх. тех. обслуживания</v>
      </c>
      <c r="EM57" s="25" t="str">
        <f ca="1">language!A$355</f>
        <v>Статус Направление расхода</v>
      </c>
      <c r="EN57" s="25"/>
      <c r="EO57" s="1"/>
      <c r="EP57" s="820"/>
      <c r="EQ57" s="8" t="s">
        <v>412</v>
      </c>
      <c r="ER57" s="41" t="str">
        <f>CONCATENATE($EP$54,EQ57)</f>
        <v>24G16000E</v>
      </c>
      <c r="ES57" s="244">
        <v>225</v>
      </c>
      <c r="ET57" s="1"/>
      <c r="EU57" s="1"/>
      <c r="EV57" s="1"/>
      <c r="EW57" s="1"/>
      <c r="EX57" s="1"/>
      <c r="EY57" s="1"/>
      <c r="EZ57" s="1"/>
      <c r="FA57" s="1"/>
      <c r="FB57" s="1"/>
      <c r="FC57" s="1"/>
      <c r="FD57" s="1"/>
      <c r="FE57" s="1"/>
      <c r="FF57" s="1"/>
      <c r="FG57" s="1"/>
      <c r="FH57" s="1"/>
      <c r="FI57" s="1"/>
      <c r="FJ57" s="1"/>
      <c r="FK57" s="1"/>
      <c r="FL57" s="1"/>
      <c r="FM57" s="1"/>
      <c r="FN57" s="1"/>
      <c r="FO57" s="1"/>
      <c r="FP57" s="1"/>
    </row>
    <row r="58" spans="1:172" ht="14.25" customHeight="1">
      <c r="A58" s="1"/>
      <c r="B58" s="1"/>
      <c r="C58" s="190"/>
      <c r="D58" s="190"/>
      <c r="E58" s="190"/>
      <c r="F58" s="190"/>
      <c r="G58" s="190"/>
      <c r="H58" s="1"/>
      <c r="I58" s="197"/>
      <c r="J58" s="1"/>
      <c r="K58" s="190"/>
      <c r="L58" s="190"/>
      <c r="M58" s="190"/>
      <c r="N58" s="1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25"/>
      <c r="EJ58" s="25"/>
      <c r="EK58" s="25"/>
      <c r="EL58" s="25"/>
      <c r="EM58" s="25"/>
      <c r="EN58" s="25"/>
      <c r="EO58" s="1"/>
      <c r="EP58" s="818" t="s">
        <v>1</v>
      </c>
      <c r="EQ58" s="241" t="s">
        <v>410</v>
      </c>
      <c r="ER58" s="38" t="str">
        <f>CONCATENATE($EP$58,EQ58)</f>
        <v>26G6500</v>
      </c>
      <c r="ES58" s="242">
        <v>720</v>
      </c>
      <c r="ET58" s="1"/>
      <c r="EU58" s="1"/>
      <c r="EV58" s="1"/>
      <c r="EW58" s="1"/>
      <c r="EX58" s="1"/>
      <c r="EY58" s="1"/>
      <c r="EZ58" s="1"/>
      <c r="FA58" s="1"/>
      <c r="FB58" s="1"/>
      <c r="FC58" s="1"/>
      <c r="FD58" s="1"/>
      <c r="FE58" s="1"/>
      <c r="FF58" s="1"/>
      <c r="FG58" s="1"/>
      <c r="FH58" s="1"/>
      <c r="FI58" s="1"/>
      <c r="FJ58" s="1"/>
      <c r="FK58" s="1"/>
      <c r="FL58" s="1"/>
      <c r="FM58" s="1"/>
      <c r="FN58" s="1"/>
      <c r="FO58" s="1"/>
      <c r="FP58" s="1"/>
    </row>
    <row r="59" spans="1:172" ht="14.25" customHeight="1">
      <c r="A59" s="1"/>
      <c r="B59" s="1"/>
      <c r="C59" s="190"/>
      <c r="D59" s="190"/>
      <c r="E59" s="190"/>
      <c r="F59" s="190"/>
      <c r="G59" s="190"/>
      <c r="H59" s="1"/>
      <c r="I59" s="197"/>
      <c r="J59" s="1"/>
      <c r="K59" s="190"/>
      <c r="L59" s="190"/>
      <c r="M59" s="190"/>
      <c r="N59" s="19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21" t="s">
        <v>425</v>
      </c>
      <c r="EJ59" s="25"/>
      <c r="EK59" s="25"/>
      <c r="EL59" s="25"/>
      <c r="EM59" s="25"/>
      <c r="EN59" s="25"/>
      <c r="EO59" s="1"/>
      <c r="EP59" s="819"/>
      <c r="EQ59" s="7" t="s">
        <v>408</v>
      </c>
      <c r="ER59" s="32" t="str">
        <f>CONCATENATE($EP$58,EQ59)</f>
        <v>26G10000</v>
      </c>
      <c r="ES59" s="243">
        <v>450</v>
      </c>
      <c r="ET59" s="1"/>
      <c r="EU59" s="1"/>
      <c r="EV59" s="1"/>
      <c r="EW59" s="1"/>
      <c r="EX59" s="1"/>
      <c r="EY59" s="1"/>
      <c r="EZ59" s="1"/>
      <c r="FA59" s="1"/>
      <c r="FB59" s="1"/>
      <c r="FC59" s="1"/>
      <c r="FD59" s="1"/>
      <c r="FE59" s="1"/>
      <c r="FF59" s="1"/>
      <c r="FG59" s="1"/>
      <c r="FH59" s="1"/>
      <c r="FI59" s="1"/>
      <c r="FJ59" s="1"/>
      <c r="FK59" s="1"/>
      <c r="FL59" s="1"/>
      <c r="FM59" s="1"/>
      <c r="FN59" s="1"/>
      <c r="FO59" s="1"/>
      <c r="FP59" s="1"/>
    </row>
    <row r="60" spans="1:172" ht="14.25" customHeight="1">
      <c r="A60" s="1"/>
      <c r="B60" s="1"/>
      <c r="C60" s="190"/>
      <c r="D60" s="190"/>
      <c r="E60" s="190"/>
      <c r="F60" s="190"/>
      <c r="G60" s="190"/>
      <c r="H60" s="1"/>
      <c r="I60" s="197"/>
      <c r="J60" s="1"/>
      <c r="K60" s="190"/>
      <c r="L60" s="190"/>
      <c r="M60" s="190"/>
      <c r="N60" s="19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27" t="s">
        <v>419</v>
      </c>
      <c r="EJ60"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60" s="31"/>
      <c r="EL60" s="31"/>
      <c r="EM60" s="31"/>
      <c r="EN60" s="31"/>
      <c r="EO60" s="1"/>
      <c r="EP60" s="819"/>
      <c r="EQ60" s="7" t="s">
        <v>409</v>
      </c>
      <c r="ER60" s="32" t="str">
        <f>CONCATENATE($EP$58,EQ60)</f>
        <v>26G16000</v>
      </c>
      <c r="ES60" s="243">
        <v>288</v>
      </c>
      <c r="ET60" s="1"/>
      <c r="EU60" s="1"/>
      <c r="EV60" s="1"/>
      <c r="EW60" s="1"/>
      <c r="EX60" s="1"/>
      <c r="EY60" s="1"/>
      <c r="EZ60" s="1"/>
      <c r="FA60" s="1"/>
      <c r="FB60" s="1"/>
      <c r="FC60" s="1"/>
      <c r="FD60" s="1"/>
      <c r="FE60" s="1"/>
      <c r="FF60" s="1"/>
      <c r="FG60" s="1"/>
      <c r="FH60" s="1"/>
      <c r="FI60" s="1"/>
      <c r="FJ60" s="1"/>
      <c r="FK60" s="1"/>
      <c r="FL60" s="1"/>
      <c r="FM60" s="1"/>
      <c r="FN60" s="1"/>
      <c r="FO60" s="1"/>
      <c r="FP60" s="1"/>
    </row>
    <row r="61" spans="1:172" ht="14.25" customHeight="1">
      <c r="A61" s="1"/>
      <c r="B61" s="1"/>
      <c r="C61" s="190"/>
      <c r="D61" s="190"/>
      <c r="E61" s="190"/>
      <c r="F61" s="190"/>
      <c r="G61" s="190"/>
      <c r="H61" s="1"/>
      <c r="I61" s="197"/>
      <c r="J61" s="1"/>
      <c r="K61" s="190"/>
      <c r="L61" s="190"/>
      <c r="M61" s="190"/>
      <c r="N61" s="19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23" t="s">
        <v>420</v>
      </c>
      <c r="EJ61" s="24" t="e">
        <f>VLOOKUP($EJ$3,$EI62:$EN71,2,FALSE)</f>
        <v>#N/A</v>
      </c>
      <c r="EK61" s="24" t="e">
        <f>VLOOKUP($EJ$3,$EI62:$EN71,3,FALSE)</f>
        <v>#N/A</v>
      </c>
      <c r="EL61" s="24" t="e">
        <f>VLOOKUP($EJ$3,$EI62:$EN71,4,FALSE)</f>
        <v>#N/A</v>
      </c>
      <c r="EM61" s="24" t="e">
        <f>VLOOKUP($EJ$3,$EI62:$EN71,5,FALSE)</f>
        <v>#N/A</v>
      </c>
      <c r="EN61" s="24" t="e">
        <f>VLOOKUP($EJ$3,$EI62:$EN71,6,FALSE)</f>
        <v>#N/A</v>
      </c>
      <c r="EO61" s="1"/>
      <c r="EP61" s="820"/>
      <c r="EQ61" s="8" t="s">
        <v>412</v>
      </c>
      <c r="ER61" s="41" t="str">
        <f>CONCATENATE($EP$58,EQ61)</f>
        <v>26G16000E</v>
      </c>
      <c r="ES61" s="244">
        <v>225</v>
      </c>
      <c r="ET61" s="1"/>
      <c r="EU61" s="1"/>
      <c r="EV61" s="1"/>
      <c r="EW61" s="1"/>
      <c r="EX61" s="1"/>
      <c r="EY61" s="1"/>
      <c r="EZ61" s="1"/>
      <c r="FA61" s="1"/>
      <c r="FB61" s="1"/>
      <c r="FC61" s="1"/>
      <c r="FD61" s="1"/>
      <c r="FE61" s="1"/>
      <c r="FF61" s="1"/>
      <c r="FG61" s="1"/>
      <c r="FH61" s="1"/>
      <c r="FI61" s="1"/>
      <c r="FJ61" s="1"/>
      <c r="FK61" s="1"/>
      <c r="FL61" s="1"/>
      <c r="FM61" s="1"/>
      <c r="FN61" s="1"/>
      <c r="FO61" s="1"/>
      <c r="FP61" s="1"/>
    </row>
    <row r="62" spans="1:172" ht="14.25" customHeight="1">
      <c r="A62" s="1"/>
      <c r="B62" s="1"/>
      <c r="C62" s="190"/>
      <c r="D62" s="190"/>
      <c r="E62" s="190"/>
      <c r="F62" s="190"/>
      <c r="G62" s="190"/>
      <c r="H62" s="1"/>
      <c r="I62" s="197"/>
      <c r="J62" s="1"/>
      <c r="K62" s="190"/>
      <c r="L62" s="190"/>
      <c r="M62" s="190"/>
      <c r="N62" s="19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26">
        <v>1</v>
      </c>
      <c r="EJ62" s="25" t="str">
        <f ca="1">language!A$352</f>
        <v>Статус Предупреждение</v>
      </c>
      <c r="EK62" s="25" t="str">
        <f ca="1">language!A$353</f>
        <v>Статус Сбой</v>
      </c>
      <c r="EL62" s="25" t="str">
        <f ca="1">language!A$354</f>
        <v>Статус Необх. тех. обслуживания</v>
      </c>
      <c r="EM62" s="25" t="str">
        <f ca="1">language!A$355</f>
        <v>Статус Направление расхода</v>
      </c>
      <c r="EN62" s="25" t="s">
        <v>132</v>
      </c>
      <c r="EO62" s="1"/>
      <c r="EP62" s="818" t="s">
        <v>102</v>
      </c>
      <c r="EQ62" s="241" t="s">
        <v>410</v>
      </c>
      <c r="ER62" s="38" t="str">
        <f>CONCATENATE($EP$62,EQ62)</f>
        <v>28G6500</v>
      </c>
      <c r="ES62" s="242">
        <v>720</v>
      </c>
      <c r="ET62" s="1"/>
      <c r="EU62" s="1"/>
      <c r="EV62" s="1"/>
      <c r="EW62" s="1"/>
      <c r="EX62" s="1"/>
      <c r="EY62" s="1"/>
      <c r="EZ62" s="1"/>
      <c r="FA62" s="1"/>
      <c r="FB62" s="1"/>
      <c r="FC62" s="1"/>
      <c r="FD62" s="1"/>
      <c r="FE62" s="1"/>
      <c r="FF62" s="1"/>
      <c r="FG62" s="1"/>
      <c r="FH62" s="1"/>
      <c r="FI62" s="1"/>
      <c r="FJ62" s="1"/>
      <c r="FK62" s="1"/>
      <c r="FL62" s="1"/>
      <c r="FM62" s="1"/>
      <c r="FN62" s="1"/>
      <c r="FO62" s="1"/>
      <c r="FP62" s="1"/>
    </row>
    <row r="63" spans="1:172" ht="14.25" customHeight="1">
      <c r="A63" s="1"/>
      <c r="B63" s="1"/>
      <c r="C63" s="190"/>
      <c r="D63" s="190"/>
      <c r="E63" s="190"/>
      <c r="F63" s="190"/>
      <c r="G63" s="190"/>
      <c r="H63" s="1"/>
      <c r="I63" s="197"/>
      <c r="J63" s="1"/>
      <c r="K63" s="190"/>
      <c r="L63" s="190"/>
      <c r="M63" s="190"/>
      <c r="N63" s="19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26">
        <v>2</v>
      </c>
      <c r="EJ63" s="25" t="s">
        <v>1071</v>
      </c>
      <c r="EK63" s="25" t="s">
        <v>1072</v>
      </c>
      <c r="EL63" s="25" t="s">
        <v>1073</v>
      </c>
      <c r="EM63" s="25" t="s">
        <v>1074</v>
      </c>
      <c r="EN63" s="25" t="str">
        <f ca="1">language!$A$356</f>
        <v>Encoder</v>
      </c>
      <c r="EO63" s="1"/>
      <c r="EP63" s="819"/>
      <c r="EQ63" s="7" t="s">
        <v>408</v>
      </c>
      <c r="ER63" s="32" t="str">
        <f>CONCATENATE($EP$62,EQ63)</f>
        <v>28G10000</v>
      </c>
      <c r="ES63" s="243">
        <v>450</v>
      </c>
      <c r="ET63" s="1"/>
      <c r="EU63" s="1"/>
      <c r="EV63" s="1"/>
      <c r="EW63" s="1"/>
      <c r="EX63" s="1"/>
      <c r="EY63" s="1"/>
      <c r="EZ63" s="1"/>
      <c r="FA63" s="1"/>
      <c r="FB63" s="1"/>
      <c r="FC63" s="1"/>
      <c r="FD63" s="1"/>
      <c r="FE63" s="1"/>
      <c r="FF63" s="1"/>
      <c r="FG63" s="1"/>
      <c r="FH63" s="1"/>
      <c r="FI63" s="1"/>
      <c r="FJ63" s="1"/>
      <c r="FK63" s="1"/>
      <c r="FL63" s="1"/>
      <c r="FM63" s="1"/>
      <c r="FN63" s="1"/>
      <c r="FO63" s="1"/>
      <c r="FP63" s="1"/>
    </row>
    <row r="64" spans="1:172" ht="14.25" customHeight="1">
      <c r="A64" s="1"/>
      <c r="B64" s="1"/>
      <c r="C64" s="190"/>
      <c r="D64" s="190"/>
      <c r="E64" s="190"/>
      <c r="F64" s="190"/>
      <c r="G64" s="190"/>
      <c r="H64" s="1"/>
      <c r="I64" s="197"/>
      <c r="J64" s="1"/>
      <c r="K64" s="190"/>
      <c r="L64" s="190"/>
      <c r="M64" s="190"/>
      <c r="N64" s="19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26">
        <v>3</v>
      </c>
      <c r="EJ64" s="25" t="str">
        <f ca="1">language!A$352</f>
        <v>Статус Предупреждение</v>
      </c>
      <c r="EK64" s="25" t="str">
        <f ca="1">language!A$353</f>
        <v>Статус Сбой</v>
      </c>
      <c r="EL64" s="25" t="str">
        <f ca="1">language!A$354</f>
        <v>Статус Необх. тех. обслуживания</v>
      </c>
      <c r="EM64" s="25" t="str">
        <f ca="1">language!A$355</f>
        <v>Статус Направление расхода</v>
      </c>
      <c r="EN64" s="25" t="s">
        <v>132</v>
      </c>
      <c r="EO64" s="1"/>
      <c r="EP64" s="819"/>
      <c r="EQ64" s="7" t="s">
        <v>409</v>
      </c>
      <c r="ER64" s="32" t="str">
        <f>CONCATENATE($EP$62,EQ64)</f>
        <v>28G16000</v>
      </c>
      <c r="ES64" s="243">
        <v>288</v>
      </c>
      <c r="ET64" s="1"/>
      <c r="EU64" s="1"/>
      <c r="EV64" s="1"/>
      <c r="EW64" s="1"/>
      <c r="EX64" s="1"/>
      <c r="EY64" s="1"/>
      <c r="EZ64" s="1"/>
      <c r="FA64" s="1"/>
      <c r="FB64" s="1"/>
      <c r="FC64" s="1"/>
      <c r="FD64" s="1"/>
      <c r="FE64" s="1"/>
      <c r="FF64" s="1"/>
      <c r="FG64" s="1"/>
      <c r="FH64" s="1"/>
      <c r="FI64" s="1"/>
      <c r="FJ64" s="1"/>
      <c r="FK64" s="1"/>
      <c r="FL64" s="1"/>
      <c r="FM64" s="1"/>
      <c r="FN64" s="1"/>
      <c r="FO64" s="1"/>
      <c r="FP64" s="1"/>
    </row>
    <row r="65" spans="1:172" ht="14.25" customHeight="1">
      <c r="A65" s="1"/>
      <c r="B65" s="1"/>
      <c r="C65" s="190"/>
      <c r="D65" s="190"/>
      <c r="E65" s="190"/>
      <c r="F65" s="190"/>
      <c r="G65" s="190"/>
      <c r="H65" s="1"/>
      <c r="I65" s="197"/>
      <c r="J65" s="1"/>
      <c r="K65" s="190"/>
      <c r="L65" s="190"/>
      <c r="M65" s="190"/>
      <c r="N65" s="19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26">
        <v>4</v>
      </c>
      <c r="EJ65" s="25" t="str">
        <f ca="1">language!A$352</f>
        <v>Статус Предупреждение</v>
      </c>
      <c r="EK65" s="25" t="str">
        <f ca="1">language!A$353</f>
        <v>Статус Сбой</v>
      </c>
      <c r="EL65" s="25" t="str">
        <f ca="1">language!A$354</f>
        <v>Статус Необх. тех. обслуживания</v>
      </c>
      <c r="EM65" s="25" t="str">
        <f ca="1">language!A$355</f>
        <v>Статус Направление расхода</v>
      </c>
      <c r="EN65" s="25" t="s">
        <v>132</v>
      </c>
      <c r="EO65" s="1"/>
      <c r="EP65" s="820"/>
      <c r="EQ65" s="8" t="s">
        <v>4</v>
      </c>
      <c r="ER65" s="41" t="str">
        <f>CONCATENATE($EP$62,EQ65)</f>
        <v>28G25000</v>
      </c>
      <c r="ES65" s="244">
        <v>180</v>
      </c>
      <c r="ET65" s="1"/>
      <c r="EU65" s="1"/>
      <c r="EV65" s="1"/>
      <c r="EW65" s="1"/>
      <c r="EX65" s="1"/>
      <c r="EY65" s="1"/>
      <c r="EZ65" s="1"/>
      <c r="FA65" s="1"/>
      <c r="FB65" s="1"/>
      <c r="FC65" s="1"/>
      <c r="FD65" s="1"/>
      <c r="FE65" s="1"/>
      <c r="FF65" s="1"/>
      <c r="FG65" s="1"/>
      <c r="FH65" s="1"/>
      <c r="FI65" s="1"/>
      <c r="FJ65" s="1"/>
      <c r="FK65" s="1"/>
      <c r="FL65" s="1"/>
      <c r="FM65" s="1"/>
      <c r="FN65" s="1"/>
      <c r="FO65" s="1"/>
      <c r="FP65" s="1"/>
    </row>
    <row r="66" spans="1:172" ht="14.25" customHeight="1">
      <c r="A66" s="1"/>
      <c r="B66" s="1"/>
      <c r="C66" s="190"/>
      <c r="D66" s="190"/>
      <c r="E66" s="190"/>
      <c r="F66" s="190"/>
      <c r="G66" s="190"/>
      <c r="H66" s="1"/>
      <c r="I66" s="197"/>
      <c r="J66" s="1"/>
      <c r="K66" s="190"/>
      <c r="L66" s="190"/>
      <c r="M66" s="190"/>
      <c r="N66" s="1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26">
        <v>5</v>
      </c>
      <c r="EJ66" s="25" t="str">
        <f ca="1">language!A$352</f>
        <v>Статус Предупреждение</v>
      </c>
      <c r="EK66" s="25" t="str">
        <f ca="1">language!A$353</f>
        <v>Статус Сбой</v>
      </c>
      <c r="EL66" s="25" t="str">
        <f ca="1">language!A$354</f>
        <v>Статус Необх. тех. обслуживания</v>
      </c>
      <c r="EM66" s="25" t="str">
        <f ca="1">language!A$355</f>
        <v>Статус Направление расхода</v>
      </c>
      <c r="EN66" s="25" t="s">
        <v>132</v>
      </c>
      <c r="EO66" s="1"/>
      <c r="EP66" s="818" t="s">
        <v>103</v>
      </c>
      <c r="EQ66" s="241" t="s">
        <v>410</v>
      </c>
      <c r="ER66" s="38" t="str">
        <f>CONCATENATE($EP$66,EQ66)</f>
        <v>30G6500</v>
      </c>
      <c r="ES66" s="242">
        <v>720</v>
      </c>
      <c r="ET66" s="1"/>
      <c r="EU66" s="1"/>
      <c r="EV66" s="1"/>
      <c r="EW66" s="1"/>
      <c r="EX66" s="1"/>
      <c r="EY66" s="1"/>
      <c r="EZ66" s="1"/>
      <c r="FA66" s="1"/>
      <c r="FB66" s="1"/>
      <c r="FC66" s="1"/>
      <c r="FD66" s="1"/>
      <c r="FE66" s="1"/>
      <c r="FF66" s="1"/>
      <c r="FG66" s="1"/>
      <c r="FH66" s="1"/>
      <c r="FI66" s="1"/>
      <c r="FJ66" s="1"/>
      <c r="FK66" s="1"/>
      <c r="FL66" s="1"/>
      <c r="FM66" s="1"/>
      <c r="FN66" s="1"/>
      <c r="FO66" s="1"/>
      <c r="FP66" s="1"/>
    </row>
    <row r="67" spans="1:172" ht="14.25" customHeight="1">
      <c r="A67" s="1"/>
      <c r="B67" s="1"/>
      <c r="C67" s="190"/>
      <c r="D67" s="190"/>
      <c r="E67" s="190"/>
      <c r="F67" s="190"/>
      <c r="G67" s="190"/>
      <c r="H67" s="1"/>
      <c r="I67" s="197"/>
      <c r="J67" s="1"/>
      <c r="K67" s="190"/>
      <c r="L67" s="190"/>
      <c r="M67" s="190"/>
      <c r="N67" s="19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26">
        <v>7</v>
      </c>
      <c r="EJ67" s="25" t="s">
        <v>1071</v>
      </c>
      <c r="EK67" s="25" t="s">
        <v>1072</v>
      </c>
      <c r="EL67" s="25" t="s">
        <v>1073</v>
      </c>
      <c r="EM67" s="25" t="s">
        <v>1074</v>
      </c>
      <c r="EN67" s="25" t="str">
        <f ca="1">language!$A$356</f>
        <v>Encoder</v>
      </c>
      <c r="EO67" s="1"/>
      <c r="EP67" s="819"/>
      <c r="EQ67" s="7" t="s">
        <v>408</v>
      </c>
      <c r="ER67" s="32" t="str">
        <f>CONCATENATE($EP$66,EQ67)</f>
        <v>30G10000</v>
      </c>
      <c r="ES67" s="243">
        <v>450</v>
      </c>
      <c r="ET67" s="1"/>
      <c r="EU67" s="1"/>
      <c r="EV67" s="1"/>
      <c r="EW67" s="1"/>
      <c r="EX67" s="1"/>
      <c r="EY67" s="1"/>
      <c r="EZ67" s="1"/>
      <c r="FA67" s="1"/>
      <c r="FB67" s="1"/>
      <c r="FC67" s="1"/>
      <c r="FD67" s="1"/>
      <c r="FE67" s="1"/>
      <c r="FF67" s="1"/>
      <c r="FG67" s="1"/>
      <c r="FH67" s="1"/>
      <c r="FI67" s="1"/>
      <c r="FJ67" s="1"/>
      <c r="FK67" s="1"/>
      <c r="FL67" s="1"/>
      <c r="FM67" s="1"/>
      <c r="FN67" s="1"/>
      <c r="FO67" s="1"/>
      <c r="FP67" s="1"/>
    </row>
    <row r="68" spans="1:172" ht="14.25" customHeight="1">
      <c r="A68" s="1"/>
      <c r="B68" s="1"/>
      <c r="C68" s="190"/>
      <c r="D68" s="190"/>
      <c r="E68" s="190"/>
      <c r="F68" s="190"/>
      <c r="G68" s="190"/>
      <c r="H68" s="1"/>
      <c r="I68" s="197"/>
      <c r="J68" s="1"/>
      <c r="K68" s="190"/>
      <c r="L68" s="190"/>
      <c r="M68" s="190"/>
      <c r="N68" s="19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34">
        <v>8</v>
      </c>
      <c r="EJ68" s="25" t="str">
        <f ca="1">language!A$352</f>
        <v>Статус Предупреждение</v>
      </c>
      <c r="EK68" s="25" t="str">
        <f ca="1">language!A$353</f>
        <v>Статус Сбой</v>
      </c>
      <c r="EL68" s="25" t="str">
        <f ca="1">language!A$354</f>
        <v>Статус Необх. тех. обслуживания</v>
      </c>
      <c r="EM68" s="25" t="str">
        <f ca="1">language!A$355</f>
        <v>Статус Направление расхода</v>
      </c>
      <c r="EN68" s="25" t="s">
        <v>132</v>
      </c>
      <c r="EO68" s="1"/>
      <c r="EP68" s="819"/>
      <c r="EQ68" s="7" t="s">
        <v>409</v>
      </c>
      <c r="ER68" s="32" t="str">
        <f>CONCATENATE($EP$66,EQ68)</f>
        <v>30G16000</v>
      </c>
      <c r="ES68" s="243">
        <v>288</v>
      </c>
      <c r="ET68" s="1"/>
      <c r="EU68" s="1"/>
      <c r="EV68" s="1"/>
      <c r="EW68" s="1"/>
      <c r="EX68" s="1"/>
      <c r="EY68" s="1"/>
      <c r="EZ68" s="1"/>
      <c r="FA68" s="1"/>
      <c r="FB68" s="1"/>
      <c r="FC68" s="1"/>
      <c r="FD68" s="1"/>
      <c r="FE68" s="1"/>
      <c r="FF68" s="1"/>
      <c r="FG68" s="1"/>
      <c r="FH68" s="1"/>
      <c r="FI68" s="1"/>
      <c r="FJ68" s="1"/>
      <c r="FK68" s="1"/>
      <c r="FL68" s="1"/>
      <c r="FM68" s="1"/>
      <c r="FN68" s="1"/>
      <c r="FO68" s="1"/>
      <c r="FP68" s="1"/>
    </row>
    <row r="69" spans="1:172" ht="14.25" customHeight="1">
      <c r="A69" s="1"/>
      <c r="B69" s="1"/>
      <c r="C69" s="190"/>
      <c r="D69" s="190"/>
      <c r="E69" s="190"/>
      <c r="F69" s="190"/>
      <c r="G69" s="190"/>
      <c r="H69" s="1"/>
      <c r="I69" s="197"/>
      <c r="J69" s="1"/>
      <c r="K69" s="190"/>
      <c r="L69" s="190"/>
      <c r="M69" s="190"/>
      <c r="N69" s="19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26">
        <v>9</v>
      </c>
      <c r="EJ69" s="25" t="s">
        <v>1071</v>
      </c>
      <c r="EK69" s="25" t="s">
        <v>1072</v>
      </c>
      <c r="EL69" s="25" t="s">
        <v>1073</v>
      </c>
      <c r="EM69" s="25" t="s">
        <v>1074</v>
      </c>
      <c r="EN69" s="25" t="str">
        <f ca="1">language!$A$356</f>
        <v>Encoder</v>
      </c>
      <c r="EO69" s="1"/>
      <c r="EP69" s="820"/>
      <c r="EQ69" s="8" t="s">
        <v>4</v>
      </c>
      <c r="ER69" s="41" t="str">
        <f>CONCATENATE($EP$66,EQ69)</f>
        <v>30G25000</v>
      </c>
      <c r="ES69" s="244">
        <v>180</v>
      </c>
      <c r="ET69" s="1"/>
      <c r="EU69" s="1"/>
      <c r="EV69" s="1"/>
      <c r="EW69" s="1"/>
      <c r="EX69" s="1"/>
      <c r="EY69" s="1"/>
      <c r="EZ69" s="1"/>
      <c r="FA69" s="1"/>
      <c r="FB69" s="1"/>
      <c r="FC69" s="1"/>
      <c r="FD69" s="1"/>
      <c r="FE69" s="1"/>
      <c r="FF69" s="1"/>
      <c r="FG69" s="1"/>
      <c r="FH69" s="1"/>
      <c r="FI69" s="1"/>
      <c r="FJ69" s="1"/>
      <c r="FK69" s="1"/>
      <c r="FL69" s="1"/>
      <c r="FM69" s="1"/>
      <c r="FN69" s="1"/>
      <c r="FO69" s="1"/>
      <c r="FP69" s="1"/>
    </row>
    <row r="70" spans="1:172" ht="14.25" customHeight="1">
      <c r="A70" s="1"/>
      <c r="B70" s="1"/>
      <c r="C70" s="190"/>
      <c r="D70" s="190"/>
      <c r="E70" s="190"/>
      <c r="F70" s="190"/>
      <c r="G70" s="190"/>
      <c r="H70" s="1"/>
      <c r="I70" s="197"/>
      <c r="J70" s="1"/>
      <c r="K70" s="190"/>
      <c r="L70" s="190"/>
      <c r="M70" s="190"/>
      <c r="N70" s="19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26">
        <v>10</v>
      </c>
      <c r="EJ70" s="25" t="str">
        <f ca="1">language!A$352</f>
        <v>Статус Предупреждение</v>
      </c>
      <c r="EK70" s="25" t="str">
        <f ca="1">language!A$353</f>
        <v>Статус Сбой</v>
      </c>
      <c r="EL70" s="25" t="str">
        <f ca="1">language!A$354</f>
        <v>Статус Необх. тех. обслуживания</v>
      </c>
      <c r="EM70" s="25" t="str">
        <f ca="1">language!A$355</f>
        <v>Статус Направление расхода</v>
      </c>
      <c r="EN70" s="25" t="s">
        <v>132</v>
      </c>
      <c r="EO70" s="1"/>
      <c r="EP70" s="818" t="s">
        <v>104</v>
      </c>
      <c r="EQ70" s="241" t="s">
        <v>408</v>
      </c>
      <c r="ER70" s="38" t="str">
        <f>CONCATENATE($EP$70,EQ70)</f>
        <v>32G10000</v>
      </c>
      <c r="ES70" s="242">
        <v>450</v>
      </c>
      <c r="ET70" s="1"/>
      <c r="EU70" s="1"/>
      <c r="EV70" s="1"/>
      <c r="EW70" s="1"/>
      <c r="EX70" s="1"/>
      <c r="EY70" s="1"/>
      <c r="EZ70" s="1"/>
      <c r="FA70" s="1"/>
      <c r="FB70" s="1"/>
      <c r="FC70" s="1"/>
      <c r="FD70" s="1"/>
      <c r="FE70" s="1"/>
      <c r="FF70" s="1"/>
      <c r="FG70" s="1"/>
      <c r="FH70" s="1"/>
      <c r="FI70" s="1"/>
      <c r="FJ70" s="1"/>
      <c r="FK70" s="1"/>
      <c r="FL70" s="1"/>
      <c r="FM70" s="1"/>
      <c r="FN70" s="1"/>
      <c r="FO70" s="1"/>
      <c r="FP70" s="1"/>
    </row>
    <row r="71" spans="1:172" ht="14.25" customHeight="1">
      <c r="A71" s="1"/>
      <c r="B71" s="1"/>
      <c r="C71" s="190"/>
      <c r="D71" s="190"/>
      <c r="E71" s="190"/>
      <c r="F71" s="190"/>
      <c r="G71" s="190"/>
      <c r="H71" s="1"/>
      <c r="I71" s="197"/>
      <c r="J71" s="1"/>
      <c r="K71" s="190"/>
      <c r="L71" s="190"/>
      <c r="M71" s="190"/>
      <c r="N71" s="19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26">
        <v>11</v>
      </c>
      <c r="EJ71" s="25" t="s">
        <v>1071</v>
      </c>
      <c r="EK71" s="25" t="s">
        <v>1072</v>
      </c>
      <c r="EL71" s="25" t="s">
        <v>1073</v>
      </c>
      <c r="EM71" s="25" t="s">
        <v>1074</v>
      </c>
      <c r="EN71" s="25" t="str">
        <f ca="1">language!$A$356</f>
        <v>Encoder</v>
      </c>
      <c r="EO71" s="1"/>
      <c r="EP71" s="819"/>
      <c r="EQ71" s="7" t="s">
        <v>409</v>
      </c>
      <c r="ER71" s="32" t="str">
        <f>CONCATENATE($EP$70,EQ71)</f>
        <v>32G16000</v>
      </c>
      <c r="ES71" s="243">
        <v>288</v>
      </c>
      <c r="ET71" s="1"/>
      <c r="EU71" s="1"/>
      <c r="EV71" s="1"/>
      <c r="EW71" s="1"/>
      <c r="EX71" s="1"/>
      <c r="EY71" s="1"/>
      <c r="EZ71" s="1"/>
      <c r="FA71" s="1"/>
      <c r="FB71" s="1"/>
      <c r="FC71" s="1"/>
      <c r="FD71" s="1"/>
      <c r="FE71" s="1"/>
      <c r="FF71" s="1"/>
      <c r="FG71" s="1"/>
      <c r="FH71" s="1"/>
      <c r="FI71" s="1"/>
      <c r="FJ71" s="1"/>
      <c r="FK71" s="1"/>
      <c r="FL71" s="1"/>
      <c r="FM71" s="1"/>
      <c r="FN71" s="1"/>
      <c r="FO71" s="1"/>
      <c r="FP71" s="1"/>
    </row>
    <row r="72" spans="1:172" ht="14.25" customHeight="1">
      <c r="A72" s="1"/>
      <c r="B72" s="1"/>
      <c r="C72" s="190"/>
      <c r="D72" s="190"/>
      <c r="E72" s="190"/>
      <c r="F72" s="190"/>
      <c r="G72" s="190"/>
      <c r="H72" s="1"/>
      <c r="I72" s="197"/>
      <c r="J72" s="1"/>
      <c r="K72" s="190"/>
      <c r="L72" s="190"/>
      <c r="M72" s="190"/>
      <c r="N72" s="19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O72" s="1"/>
      <c r="EP72" s="820"/>
      <c r="EQ72" s="8" t="s">
        <v>4</v>
      </c>
      <c r="ER72" s="41" t="str">
        <f>CONCATENATE($EP$70,EQ72)</f>
        <v>32G25000</v>
      </c>
      <c r="ES72" s="244">
        <v>180</v>
      </c>
      <c r="ET72" s="1"/>
      <c r="EU72" s="1"/>
      <c r="EV72" s="1"/>
      <c r="EW72" s="1"/>
      <c r="EX72" s="1"/>
      <c r="EY72" s="1"/>
      <c r="EZ72" s="1"/>
      <c r="FA72" s="1"/>
      <c r="FB72" s="1"/>
      <c r="FC72" s="1"/>
      <c r="FD72" s="1"/>
      <c r="FE72" s="1"/>
      <c r="FF72" s="1"/>
      <c r="FG72" s="1"/>
      <c r="FH72" s="1"/>
      <c r="FI72" s="1"/>
      <c r="FJ72" s="1"/>
      <c r="FK72" s="1"/>
      <c r="FL72" s="1"/>
      <c r="FM72" s="1"/>
      <c r="FN72" s="1"/>
      <c r="FO72" s="1"/>
      <c r="FP72" s="1"/>
    </row>
    <row r="73" spans="1:172" ht="14.25" customHeight="1">
      <c r="A73" s="1"/>
      <c r="B73" s="1"/>
      <c r="C73" s="190"/>
      <c r="D73" s="190"/>
      <c r="E73" s="190"/>
      <c r="F73" s="190"/>
      <c r="G73" s="190"/>
      <c r="H73" s="1"/>
      <c r="I73" s="197"/>
      <c r="J73" s="1"/>
      <c r="K73" s="190"/>
      <c r="L73" s="190"/>
      <c r="M73" s="190"/>
      <c r="N73" s="19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O73" s="1"/>
      <c r="EP73" s="818" t="s">
        <v>2</v>
      </c>
      <c r="EQ73" s="241" t="s">
        <v>409</v>
      </c>
      <c r="ER73" s="38" t="str">
        <f>CONCATENATE($EP$73,EQ73)</f>
        <v>34G16000</v>
      </c>
      <c r="ES73" s="242">
        <v>288</v>
      </c>
      <c r="ET73" s="1"/>
      <c r="EU73" s="1"/>
      <c r="EV73" s="1"/>
      <c r="EW73" s="1"/>
      <c r="EX73" s="1"/>
      <c r="EY73" s="1"/>
      <c r="EZ73" s="1"/>
      <c r="FA73" s="1"/>
      <c r="FB73" s="1"/>
      <c r="FC73" s="1"/>
      <c r="FD73" s="1"/>
      <c r="FE73" s="1"/>
      <c r="FF73" s="1"/>
      <c r="FG73" s="1"/>
      <c r="FH73" s="1"/>
      <c r="FI73" s="1"/>
      <c r="FJ73" s="1"/>
      <c r="FK73" s="1"/>
      <c r="FL73" s="1"/>
      <c r="FM73" s="1"/>
      <c r="FN73" s="1"/>
      <c r="FO73" s="1"/>
      <c r="FP73" s="1"/>
    </row>
    <row r="74" spans="1:172" ht="14.25" customHeight="1">
      <c r="A74" s="1"/>
      <c r="B74" s="1"/>
      <c r="C74" s="190"/>
      <c r="D74" s="190"/>
      <c r="E74" s="190"/>
      <c r="F74" s="190"/>
      <c r="G74" s="190"/>
      <c r="H74" s="1"/>
      <c r="I74" s="197"/>
      <c r="J74" s="1"/>
      <c r="K74" s="190"/>
      <c r="L74" s="190"/>
      <c r="M74" s="190"/>
      <c r="N74" s="1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272"/>
      <c r="EI74" s="32" t="s">
        <v>427</v>
      </c>
      <c r="EO74" s="1"/>
      <c r="EP74" s="819"/>
      <c r="EQ74" s="7" t="s">
        <v>4</v>
      </c>
      <c r="ER74" s="32" t="str">
        <f>CONCATENATE($EP$73,EQ74)</f>
        <v>34G25000</v>
      </c>
      <c r="ES74" s="243">
        <v>180</v>
      </c>
      <c r="ET74" s="1"/>
      <c r="EU74" s="1"/>
      <c r="EV74" s="1"/>
      <c r="EW74" s="1"/>
      <c r="EX74" s="1"/>
      <c r="EY74" s="1"/>
      <c r="EZ74" s="1"/>
      <c r="FA74" s="1"/>
      <c r="FB74" s="1"/>
      <c r="FC74" s="1"/>
      <c r="FD74" s="1"/>
      <c r="FE74" s="1"/>
      <c r="FF74" s="1"/>
      <c r="FG74" s="1"/>
      <c r="FH74" s="1"/>
      <c r="FI74" s="1"/>
      <c r="FJ74" s="1"/>
      <c r="FK74" s="1"/>
      <c r="FL74" s="1"/>
      <c r="FM74" s="1"/>
      <c r="FN74" s="1"/>
      <c r="FO74" s="1"/>
      <c r="FP74" s="1"/>
    </row>
    <row r="75" spans="1:172" ht="14.25" customHeight="1">
      <c r="A75" s="1"/>
      <c r="B75" s="1"/>
      <c r="C75" s="190"/>
      <c r="D75" s="190"/>
      <c r="E75" s="190"/>
      <c r="F75" s="190"/>
      <c r="G75" s="190"/>
      <c r="H75" s="1"/>
      <c r="I75" s="197"/>
      <c r="J75" s="1"/>
      <c r="K75" s="190"/>
      <c r="L75" s="190"/>
      <c r="M75" s="190"/>
      <c r="N75" s="19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272"/>
      <c r="EI75" s="27" t="s">
        <v>419</v>
      </c>
      <c r="EJ75"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75" s="33"/>
      <c r="EO75" s="1"/>
      <c r="EP75" s="820"/>
      <c r="EQ75" s="8" t="s">
        <v>5</v>
      </c>
      <c r="ER75" s="41" t="str">
        <f>CONCATENATE($EP$73,EQ75)</f>
        <v>34G40000</v>
      </c>
      <c r="ES75" s="244">
        <v>111</v>
      </c>
      <c r="ET75" s="1"/>
      <c r="EU75" s="1"/>
      <c r="EV75" s="1"/>
      <c r="EW75" s="1"/>
      <c r="EX75" s="1"/>
      <c r="EY75" s="1"/>
      <c r="EZ75" s="1"/>
      <c r="FA75" s="1"/>
      <c r="FB75" s="1"/>
      <c r="FC75" s="1"/>
      <c r="FD75" s="1"/>
      <c r="FE75" s="1"/>
      <c r="FF75" s="1"/>
      <c r="FG75" s="1"/>
      <c r="FH75" s="1"/>
      <c r="FI75" s="1"/>
      <c r="FJ75" s="1"/>
      <c r="FK75" s="1"/>
      <c r="FL75" s="1"/>
      <c r="FM75" s="1"/>
      <c r="FN75" s="1"/>
      <c r="FO75" s="1"/>
      <c r="FP75" s="1"/>
    </row>
    <row r="76" spans="1:172" ht="14.25" customHeight="1">
      <c r="A76" s="1"/>
      <c r="B76" s="1"/>
      <c r="C76" s="190"/>
      <c r="D76" s="190"/>
      <c r="E76" s="190"/>
      <c r="F76" s="190"/>
      <c r="G76" s="190"/>
      <c r="H76" s="1"/>
      <c r="I76" s="197"/>
      <c r="J76" s="1"/>
      <c r="K76" s="190"/>
      <c r="L76" s="190"/>
      <c r="M76" s="190"/>
      <c r="N76" s="19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272"/>
      <c r="EI76" s="23" t="s">
        <v>420</v>
      </c>
      <c r="EJ76" s="24" t="e">
        <f>VLOOKUP($EJ$3,$EI77:$EK86,2,FALSE)</f>
        <v>#N/A</v>
      </c>
      <c r="EK76" s="24" t="e">
        <f>VLOOKUP($EJ$3,$EI77:$EK86,3,FALSE)</f>
        <v>#N/A</v>
      </c>
      <c r="EO76" s="1"/>
      <c r="EP76" s="818" t="s">
        <v>105</v>
      </c>
      <c r="EQ76" s="241" t="s">
        <v>409</v>
      </c>
      <c r="ER76" s="38" t="str">
        <f>CONCATENATE($EP$76,EQ76)</f>
        <v>36G16000</v>
      </c>
      <c r="ES76" s="242">
        <v>288</v>
      </c>
      <c r="ET76" s="1"/>
      <c r="EU76" s="1"/>
      <c r="EV76" s="1"/>
      <c r="EW76" s="1"/>
      <c r="EX76" s="1"/>
      <c r="EY76" s="1"/>
      <c r="EZ76" s="1"/>
      <c r="FA76" s="1"/>
      <c r="FB76" s="1"/>
      <c r="FC76" s="1"/>
      <c r="FD76" s="1"/>
      <c r="FE76" s="1"/>
      <c r="FF76" s="1"/>
      <c r="FG76" s="1"/>
      <c r="FH76" s="1"/>
      <c r="FI76" s="1"/>
      <c r="FJ76" s="1"/>
      <c r="FK76" s="1"/>
      <c r="FL76" s="1"/>
      <c r="FM76" s="1"/>
      <c r="FN76" s="1"/>
      <c r="FO76" s="1"/>
      <c r="FP76" s="1"/>
    </row>
    <row r="77" spans="1:172" ht="14.25" customHeight="1">
      <c r="A77" s="1"/>
      <c r="B77" s="1"/>
      <c r="C77" s="190"/>
      <c r="D77" s="190"/>
      <c r="E77" s="190"/>
      <c r="F77" s="190"/>
      <c r="G77" s="190"/>
      <c r="H77" s="1"/>
      <c r="I77" s="197"/>
      <c r="J77" s="1"/>
      <c r="K77" s="190"/>
      <c r="L77" s="190"/>
      <c r="M77" s="190"/>
      <c r="N77" s="19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272"/>
      <c r="EI77" s="34">
        <v>1</v>
      </c>
      <c r="EJ77" s="25" t="str">
        <f ca="1">language!A328</f>
        <v>NAMUR</v>
      </c>
      <c r="EK77" s="25" t="str">
        <f ca="1">language!A329</f>
        <v>Открытый коллектор</v>
      </c>
      <c r="EO77" s="1"/>
      <c r="EP77" s="819"/>
      <c r="EQ77" s="7" t="s">
        <v>4</v>
      </c>
      <c r="ER77" s="32" t="str">
        <f>CONCATENATE($EP$76,EQ77)</f>
        <v>36G25000</v>
      </c>
      <c r="ES77" s="243">
        <v>180</v>
      </c>
      <c r="ET77" s="1"/>
      <c r="EU77" s="1"/>
      <c r="EV77" s="1"/>
      <c r="EW77" s="1"/>
      <c r="EX77" s="1"/>
      <c r="EY77" s="1"/>
      <c r="EZ77" s="1"/>
      <c r="FA77" s="1"/>
      <c r="FB77" s="1"/>
      <c r="FC77" s="1"/>
      <c r="FD77" s="1"/>
      <c r="FE77" s="1"/>
      <c r="FF77" s="1"/>
      <c r="FG77" s="1"/>
      <c r="FH77" s="1"/>
      <c r="FI77" s="1"/>
      <c r="FJ77" s="1"/>
      <c r="FK77" s="1"/>
      <c r="FL77" s="1"/>
      <c r="FM77" s="1"/>
      <c r="FN77" s="1"/>
      <c r="FO77" s="1"/>
      <c r="FP77" s="1"/>
    </row>
    <row r="78" spans="1:172" ht="14.25" customHeight="1">
      <c r="A78" s="1"/>
      <c r="B78" s="1"/>
      <c r="C78" s="190"/>
      <c r="D78" s="190"/>
      <c r="E78" s="190"/>
      <c r="F78" s="190"/>
      <c r="G78" s="190"/>
      <c r="H78" s="1"/>
      <c r="I78" s="197"/>
      <c r="J78" s="1"/>
      <c r="K78" s="190"/>
      <c r="L78" s="190"/>
      <c r="M78" s="190"/>
      <c r="N78" s="19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272"/>
      <c r="EI78" s="34">
        <v>2</v>
      </c>
      <c r="EJ78" s="25" t="str">
        <f ca="1">language!A328</f>
        <v>NAMUR</v>
      </c>
      <c r="EK78" s="25" t="str">
        <f ca="1">language!A329</f>
        <v>Открытый коллектор</v>
      </c>
      <c r="EO78" s="1"/>
      <c r="EP78" s="820"/>
      <c r="EQ78" s="8" t="s">
        <v>5</v>
      </c>
      <c r="ER78" s="41" t="str">
        <f>CONCATENATE($EP$76,EQ78)</f>
        <v>36G40000</v>
      </c>
      <c r="ES78" s="244">
        <v>111</v>
      </c>
      <c r="ET78" s="1"/>
      <c r="EU78" s="1"/>
      <c r="EV78" s="1"/>
      <c r="EW78" s="1"/>
      <c r="EX78" s="1"/>
      <c r="EY78" s="1"/>
      <c r="EZ78" s="1"/>
      <c r="FA78" s="1"/>
      <c r="FB78" s="1"/>
      <c r="FC78" s="1"/>
      <c r="FD78" s="1"/>
      <c r="FE78" s="1"/>
      <c r="FF78" s="1"/>
      <c r="FG78" s="1"/>
      <c r="FH78" s="1"/>
      <c r="FI78" s="1"/>
      <c r="FJ78" s="1"/>
      <c r="FK78" s="1"/>
      <c r="FL78" s="1"/>
      <c r="FM78" s="1"/>
      <c r="FN78" s="1"/>
      <c r="FO78" s="1"/>
      <c r="FP78" s="1"/>
    </row>
    <row r="79" spans="1:172" ht="14.25" customHeight="1">
      <c r="A79" s="1"/>
      <c r="B79" s="1"/>
      <c r="C79" s="190"/>
      <c r="D79" s="190"/>
      <c r="E79" s="190"/>
      <c r="F79" s="190"/>
      <c r="G79" s="190"/>
      <c r="H79" s="1"/>
      <c r="I79" s="197"/>
      <c r="J79" s="1"/>
      <c r="K79" s="190"/>
      <c r="L79" s="190"/>
      <c r="M79" s="190"/>
      <c r="N79" s="19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272"/>
      <c r="EI79" s="34">
        <v>3</v>
      </c>
      <c r="EJ79" s="25" t="str">
        <f ca="1">language!A328</f>
        <v>NAMUR</v>
      </c>
      <c r="EK79" s="25" t="str">
        <f ca="1">language!A329</f>
        <v>Открытый коллектор</v>
      </c>
      <c r="EO79" s="1"/>
      <c r="EP79" s="818" t="s">
        <v>3</v>
      </c>
      <c r="EQ79" s="241" t="s">
        <v>409</v>
      </c>
      <c r="ER79" s="38" t="str">
        <f>CONCATENATE($EP$79,EQ79)</f>
        <v>38G16000</v>
      </c>
      <c r="ES79" s="242">
        <v>288</v>
      </c>
      <c r="ET79" s="1"/>
      <c r="EU79" s="1"/>
      <c r="EV79" s="1"/>
      <c r="EW79" s="1"/>
      <c r="EX79" s="1"/>
      <c r="EY79" s="1"/>
      <c r="EZ79" s="1"/>
      <c r="FA79" s="1"/>
      <c r="FB79" s="1"/>
      <c r="FC79" s="1"/>
      <c r="FD79" s="1"/>
      <c r="FE79" s="1"/>
      <c r="FF79" s="1"/>
      <c r="FG79" s="1"/>
      <c r="FH79" s="1"/>
      <c r="FI79" s="1"/>
      <c r="FJ79" s="1"/>
      <c r="FK79" s="1"/>
      <c r="FL79" s="1"/>
      <c r="FM79" s="1"/>
      <c r="FN79" s="1"/>
      <c r="FO79" s="1"/>
      <c r="FP79" s="1"/>
    </row>
    <row r="80" spans="1:172" ht="14.25" customHeight="1">
      <c r="A80" s="1"/>
      <c r="B80" s="1"/>
      <c r="C80" s="190"/>
      <c r="D80" s="190"/>
      <c r="E80" s="190"/>
      <c r="F80" s="190"/>
      <c r="G80" s="190"/>
      <c r="H80" s="1"/>
      <c r="I80" s="197"/>
      <c r="J80" s="1"/>
      <c r="K80" s="190"/>
      <c r="L80" s="190"/>
      <c r="M80" s="190"/>
      <c r="N80" s="19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272"/>
      <c r="EI80" s="34">
        <v>4</v>
      </c>
      <c r="EJ80" s="25" t="str">
        <f ca="1">language!$A$331</f>
        <v>активный</v>
      </c>
      <c r="EK80" s="25" t="str">
        <f ca="1">language!$A$332</f>
        <v>пассивный</v>
      </c>
      <c r="EO80" s="1"/>
      <c r="EP80" s="819"/>
      <c r="EQ80" s="7" t="s">
        <v>4</v>
      </c>
      <c r="ER80" s="32" t="str">
        <f>CONCATENATE($EP$79,EQ80)</f>
        <v>38G25000</v>
      </c>
      <c r="ES80" s="243">
        <v>180</v>
      </c>
      <c r="ET80" s="1"/>
      <c r="EU80" s="1"/>
      <c r="EV80" s="1"/>
      <c r="EW80" s="1"/>
      <c r="EX80" s="1"/>
      <c r="EY80" s="1"/>
      <c r="EZ80" s="1"/>
      <c r="FA80" s="1"/>
      <c r="FB80" s="1"/>
      <c r="FC80" s="1"/>
      <c r="FD80" s="1"/>
      <c r="FE80" s="1"/>
      <c r="FF80" s="1"/>
      <c r="FG80" s="1"/>
      <c r="FH80" s="1"/>
      <c r="FI80" s="1"/>
      <c r="FJ80" s="1"/>
      <c r="FK80" s="1"/>
      <c r="FL80" s="1"/>
      <c r="FM80" s="1"/>
      <c r="FN80" s="1"/>
      <c r="FO80" s="1"/>
      <c r="FP80" s="1"/>
    </row>
    <row r="81" spans="1:172" ht="14.25" customHeight="1">
      <c r="A81" s="1"/>
      <c r="B81" s="1"/>
      <c r="C81" s="190"/>
      <c r="D81" s="190"/>
      <c r="E81" s="190"/>
      <c r="F81" s="190"/>
      <c r="G81" s="190"/>
      <c r="H81" s="1"/>
      <c r="I81" s="197"/>
      <c r="J81" s="1"/>
      <c r="K81" s="190"/>
      <c r="L81" s="190"/>
      <c r="M81" s="190"/>
      <c r="N81" s="19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272"/>
      <c r="EI81" s="34">
        <v>5</v>
      </c>
      <c r="EJ81" s="25" t="str">
        <f ca="1">language!$A$331</f>
        <v>активный</v>
      </c>
      <c r="EK81" s="25" t="str">
        <f ca="1">language!$A$332</f>
        <v>пассивный</v>
      </c>
      <c r="EO81" s="1"/>
      <c r="EP81" s="820"/>
      <c r="EQ81" s="7" t="s">
        <v>5</v>
      </c>
      <c r="ER81" s="32" t="str">
        <f>CONCATENATE($EP$79,EQ81)</f>
        <v>38G40000</v>
      </c>
      <c r="ES81" s="243">
        <v>111</v>
      </c>
      <c r="ET81" s="1"/>
      <c r="EU81" s="1"/>
      <c r="EV81" s="1"/>
      <c r="EW81" s="1"/>
      <c r="EX81" s="1"/>
      <c r="EY81" s="1"/>
      <c r="EZ81" s="1"/>
      <c r="FA81" s="1"/>
      <c r="FB81" s="1"/>
      <c r="FC81" s="1"/>
      <c r="FD81" s="1"/>
      <c r="FE81" s="1"/>
      <c r="FF81" s="1"/>
      <c r="FG81" s="1"/>
      <c r="FH81" s="1"/>
      <c r="FI81" s="1"/>
      <c r="FJ81" s="1"/>
      <c r="FK81" s="1"/>
      <c r="FL81" s="1"/>
      <c r="FM81" s="1"/>
      <c r="FN81" s="1"/>
      <c r="FO81" s="1"/>
      <c r="FP81" s="1"/>
    </row>
    <row r="82" spans="1:172" ht="14.25" customHeight="1">
      <c r="A82" s="1"/>
      <c r="B82" s="1"/>
      <c r="C82" s="190"/>
      <c r="D82" s="190"/>
      <c r="E82" s="190"/>
      <c r="F82" s="190"/>
      <c r="G82" s="190"/>
      <c r="H82" s="1"/>
      <c r="I82" s="197"/>
      <c r="J82" s="1"/>
      <c r="K82" s="190"/>
      <c r="L82" s="190"/>
      <c r="M82" s="190"/>
      <c r="N82" s="1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272"/>
      <c r="EI82" s="34">
        <v>7</v>
      </c>
      <c r="EJ82" s="25" t="str">
        <f ca="1">language!$A$331</f>
        <v>активный</v>
      </c>
      <c r="EK82" s="25" t="str">
        <f ca="1">language!$A$332</f>
        <v>пассивный</v>
      </c>
      <c r="EO82" s="1"/>
      <c r="EP82" s="818" t="s">
        <v>106</v>
      </c>
      <c r="EQ82" s="241" t="s">
        <v>409</v>
      </c>
      <c r="ER82" s="38" t="str">
        <f>CONCATENATE($EP$82,EQ82)</f>
        <v>40G16000</v>
      </c>
      <c r="ES82" s="242">
        <v>288</v>
      </c>
      <c r="ET82" s="1"/>
      <c r="EU82" s="1"/>
      <c r="EV82" s="1"/>
      <c r="EW82" s="1"/>
      <c r="EX82" s="1"/>
      <c r="EY82" s="1"/>
      <c r="EZ82" s="1"/>
      <c r="FA82" s="1"/>
      <c r="FB82" s="1"/>
      <c r="FC82" s="1"/>
      <c r="FD82" s="1"/>
      <c r="FE82" s="1"/>
      <c r="FF82" s="1"/>
      <c r="FG82" s="1"/>
      <c r="FH82" s="1"/>
      <c r="FI82" s="1"/>
      <c r="FJ82" s="1"/>
      <c r="FK82" s="1"/>
      <c r="FL82" s="1"/>
      <c r="FM82" s="1"/>
      <c r="FN82" s="1"/>
      <c r="FO82" s="1"/>
      <c r="FP82" s="1"/>
    </row>
    <row r="83" spans="1:172" ht="14.25" customHeight="1">
      <c r="A83" s="1"/>
      <c r="B83" s="1"/>
      <c r="C83" s="190"/>
      <c r="D83" s="190"/>
      <c r="E83" s="190"/>
      <c r="F83" s="190"/>
      <c r="G83" s="190"/>
      <c r="H83" s="1"/>
      <c r="I83" s="197"/>
      <c r="J83" s="1"/>
      <c r="K83" s="190"/>
      <c r="L83" s="190"/>
      <c r="M83" s="190"/>
      <c r="N83" s="19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272"/>
      <c r="EI83" s="34">
        <v>8</v>
      </c>
      <c r="EJ83" s="32" t="s">
        <v>132</v>
      </c>
      <c r="EK83" s="32" t="s">
        <v>132</v>
      </c>
      <c r="EO83" s="1"/>
      <c r="EP83" s="819"/>
      <c r="EQ83" s="7" t="s">
        <v>4</v>
      </c>
      <c r="ER83" s="32" t="str">
        <f>CONCATENATE($EP$82,EQ83)</f>
        <v>40G25000</v>
      </c>
      <c r="ES83" s="243">
        <v>180</v>
      </c>
      <c r="ET83" s="1"/>
      <c r="EU83" s="1"/>
      <c r="EV83" s="1"/>
      <c r="EW83" s="1"/>
      <c r="EX83" s="1"/>
      <c r="EY83" s="1"/>
      <c r="EZ83" s="1"/>
      <c r="FA83" s="1"/>
      <c r="FB83" s="1"/>
      <c r="FC83" s="1"/>
      <c r="FD83" s="1"/>
      <c r="FE83" s="1"/>
      <c r="FF83" s="1"/>
      <c r="FG83" s="1"/>
      <c r="FH83" s="1"/>
      <c r="FI83" s="1"/>
      <c r="FJ83" s="1"/>
      <c r="FK83" s="1"/>
      <c r="FL83" s="1"/>
      <c r="FM83" s="1"/>
      <c r="FN83" s="1"/>
      <c r="FO83" s="1"/>
      <c r="FP83" s="1"/>
    </row>
    <row r="84" spans="1:172" ht="14.25" customHeight="1">
      <c r="A84" s="1"/>
      <c r="B84" s="1"/>
      <c r="C84" s="190"/>
      <c r="D84" s="190"/>
      <c r="E84" s="190"/>
      <c r="F84" s="190"/>
      <c r="G84" s="190"/>
      <c r="H84" s="1"/>
      <c r="I84" s="197"/>
      <c r="J84" s="1"/>
      <c r="K84" s="190"/>
      <c r="L84" s="190"/>
      <c r="M84" s="190"/>
      <c r="N84" s="19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272"/>
      <c r="EI84" s="34">
        <v>9</v>
      </c>
      <c r="EJ84" s="25" t="s">
        <v>132</v>
      </c>
      <c r="EK84" s="25" t="s">
        <v>132</v>
      </c>
      <c r="EO84" s="1"/>
      <c r="EP84" s="820"/>
      <c r="EQ84" s="8" t="s">
        <v>5</v>
      </c>
      <c r="ER84" s="41" t="str">
        <f>CONCATENATE($EP$82,EQ84)</f>
        <v>40G40000</v>
      </c>
      <c r="ES84" s="244">
        <v>111</v>
      </c>
      <c r="ET84" s="1"/>
      <c r="EU84" s="1"/>
      <c r="EV84" s="1"/>
      <c r="EW84" s="1"/>
      <c r="EX84" s="1"/>
      <c r="EY84" s="1"/>
      <c r="EZ84" s="1"/>
      <c r="FA84" s="1"/>
      <c r="FB84" s="1"/>
      <c r="FC84" s="1"/>
      <c r="FD84" s="1"/>
      <c r="FE84" s="1"/>
      <c r="FF84" s="1"/>
      <c r="FG84" s="1"/>
      <c r="FH84" s="1"/>
      <c r="FI84" s="1"/>
      <c r="FJ84" s="1"/>
      <c r="FK84" s="1"/>
      <c r="FL84" s="1"/>
      <c r="FM84" s="1"/>
      <c r="FN84" s="1"/>
      <c r="FO84" s="1"/>
      <c r="FP84" s="1"/>
    </row>
    <row r="85" spans="1:172" ht="14.25" customHeight="1">
      <c r="A85" s="1"/>
      <c r="B85" s="1"/>
      <c r="C85" s="190"/>
      <c r="D85" s="190"/>
      <c r="E85" s="190"/>
      <c r="F85" s="190"/>
      <c r="G85" s="190"/>
      <c r="H85" s="1"/>
      <c r="I85" s="197"/>
      <c r="J85" s="1"/>
      <c r="K85" s="190"/>
      <c r="L85" s="190"/>
      <c r="M85" s="190"/>
      <c r="N85" s="19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272"/>
      <c r="EI85" s="34">
        <v>10</v>
      </c>
      <c r="EJ85" s="25" t="s">
        <v>132</v>
      </c>
      <c r="EK85" s="25" t="s">
        <v>132</v>
      </c>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row>
    <row r="86" spans="1:172" ht="14.25" customHeight="1">
      <c r="A86" s="1"/>
      <c r="B86" s="1"/>
      <c r="C86" s="190"/>
      <c r="D86" s="190"/>
      <c r="E86" s="190"/>
      <c r="F86" s="190"/>
      <c r="G86" s="190"/>
      <c r="H86" s="1"/>
      <c r="I86" s="197"/>
      <c r="J86" s="1"/>
      <c r="K86" s="190"/>
      <c r="L86" s="190"/>
      <c r="M86" s="190"/>
      <c r="N86" s="19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272"/>
      <c r="EI86" s="34">
        <v>11</v>
      </c>
      <c r="EJ86" s="25" t="s">
        <v>132</v>
      </c>
      <c r="EK86" s="25" t="s">
        <v>132</v>
      </c>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row>
    <row r="87" spans="1:172" ht="14.25" customHeight="1">
      <c r="A87" s="1"/>
      <c r="B87" s="1"/>
      <c r="C87" s="190"/>
      <c r="D87" s="190"/>
      <c r="E87" s="190"/>
      <c r="F87" s="190"/>
      <c r="G87" s="190"/>
      <c r="H87" s="1"/>
      <c r="I87" s="197"/>
      <c r="J87" s="1"/>
      <c r="K87" s="190"/>
      <c r="L87" s="190"/>
      <c r="M87" s="190"/>
      <c r="N87" s="19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row>
    <row r="88" spans="1:172" ht="14.25" customHeight="1">
      <c r="A88" s="1"/>
      <c r="B88" s="1"/>
      <c r="C88" s="190"/>
      <c r="D88" s="190"/>
      <c r="E88" s="190"/>
      <c r="F88" s="190"/>
      <c r="G88" s="190"/>
      <c r="H88" s="1"/>
      <c r="I88" s="197"/>
      <c r="J88" s="1"/>
      <c r="K88" s="190"/>
      <c r="L88" s="190"/>
      <c r="M88" s="190"/>
      <c r="N88" s="19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272"/>
      <c r="EI88" s="32" t="s">
        <v>428</v>
      </c>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row>
    <row r="89" spans="1:172" ht="14.25" customHeight="1">
      <c r="A89" s="1"/>
      <c r="B89" s="1"/>
      <c r="C89" s="190"/>
      <c r="D89" s="190"/>
      <c r="E89" s="190"/>
      <c r="F89" s="190"/>
      <c r="G89" s="190"/>
      <c r="H89" s="1"/>
      <c r="I89" s="197"/>
      <c r="J89" s="1"/>
      <c r="K89" s="190"/>
      <c r="L89" s="190"/>
      <c r="M89" s="190"/>
      <c r="N89" s="19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272"/>
      <c r="EI89" s="27" t="s">
        <v>419</v>
      </c>
      <c r="EJ89"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89" s="33"/>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row>
    <row r="90" spans="1:172" ht="14.25" customHeight="1">
      <c r="A90" s="1"/>
      <c r="B90" s="1"/>
      <c r="C90" s="190"/>
      <c r="D90" s="190"/>
      <c r="E90" s="190"/>
      <c r="F90" s="190"/>
      <c r="G90" s="190"/>
      <c r="H90" s="1"/>
      <c r="I90" s="197"/>
      <c r="J90" s="1"/>
      <c r="K90" s="190"/>
      <c r="L90" s="190"/>
      <c r="M90" s="190"/>
      <c r="N90" s="1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272"/>
      <c r="EI90" s="35" t="s">
        <v>1090</v>
      </c>
      <c r="EJ90" s="25" t="str">
        <f ca="1">language!A328</f>
        <v>NAMUR</v>
      </c>
      <c r="EK90" s="25" t="str">
        <f ca="1">language!A329</f>
        <v>Открытый коллектор</v>
      </c>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row>
    <row r="91" spans="1:172" ht="14.25" customHeight="1">
      <c r="A91" s="1"/>
      <c r="B91" s="1"/>
      <c r="C91" s="190"/>
      <c r="D91" s="190"/>
      <c r="E91" s="190"/>
      <c r="F91" s="190"/>
      <c r="G91" s="190"/>
      <c r="H91" s="1"/>
      <c r="I91" s="197"/>
      <c r="J91" s="1"/>
      <c r="K91" s="190"/>
      <c r="L91" s="190"/>
      <c r="M91" s="190"/>
      <c r="N91" s="19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J91" s="25"/>
      <c r="EK91" s="25"/>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row>
    <row r="92" spans="1:172" ht="14.25" customHeight="1">
      <c r="A92" s="1"/>
      <c r="B92" s="1"/>
      <c r="C92" s="190"/>
      <c r="D92" s="190"/>
      <c r="E92" s="190"/>
      <c r="F92" s="190"/>
      <c r="G92" s="190"/>
      <c r="H92" s="1"/>
      <c r="I92" s="197"/>
      <c r="J92" s="1"/>
      <c r="K92" s="190"/>
      <c r="L92" s="190"/>
      <c r="M92" s="190"/>
      <c r="N92" s="19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272"/>
      <c r="EI92" s="32" t="s">
        <v>430</v>
      </c>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row>
    <row r="93" spans="1:172" ht="14.25" customHeight="1">
      <c r="A93" s="1"/>
      <c r="B93" s="1"/>
      <c r="C93" s="190"/>
      <c r="D93" s="190"/>
      <c r="E93" s="190"/>
      <c r="F93" s="190"/>
      <c r="G93" s="190"/>
      <c r="H93" s="1"/>
      <c r="I93" s="197"/>
      <c r="J93" s="1"/>
      <c r="K93" s="190"/>
      <c r="L93" s="190"/>
      <c r="M93" s="190"/>
      <c r="N93" s="190"/>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272"/>
      <c r="EI93" s="27" t="s">
        <v>419</v>
      </c>
      <c r="EJ93"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93" s="33"/>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row>
    <row r="94" spans="1:172" ht="14.25" customHeight="1">
      <c r="A94" s="1"/>
      <c r="B94" s="1"/>
      <c r="C94" s="190"/>
      <c r="D94" s="190"/>
      <c r="E94" s="190"/>
      <c r="F94" s="190"/>
      <c r="G94" s="190"/>
      <c r="H94" s="1"/>
      <c r="I94" s="197"/>
      <c r="J94" s="1"/>
      <c r="K94" s="190"/>
      <c r="L94" s="190"/>
      <c r="M94" s="190"/>
      <c r="N94" s="19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272"/>
      <c r="EI94" s="23" t="s">
        <v>420</v>
      </c>
      <c r="EJ94" s="24" t="e">
        <f>VLOOKUP($EJ$3,$EI95:$EK104,2,FALSE)</f>
        <v>#N/A</v>
      </c>
      <c r="EK94" s="24" t="e">
        <f>VLOOKUP($EJ$3,$EI95:$EK104,3,FALSE)</f>
        <v>#N/A</v>
      </c>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row>
    <row r="95" spans="1:172" ht="14.25" customHeight="1">
      <c r="A95" s="1"/>
      <c r="B95" s="1"/>
      <c r="C95" s="190"/>
      <c r="D95" s="190"/>
      <c r="E95" s="190"/>
      <c r="F95" s="190"/>
      <c r="G95" s="190"/>
      <c r="H95" s="1"/>
      <c r="I95" s="197"/>
      <c r="J95" s="1"/>
      <c r="K95" s="190"/>
      <c r="L95" s="190"/>
      <c r="M95" s="190"/>
      <c r="N95" s="190"/>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272"/>
      <c r="EI95" s="34">
        <v>1</v>
      </c>
      <c r="EJ95" s="25" t="str">
        <f ca="1">language!A328</f>
        <v>NAMUR</v>
      </c>
      <c r="EK95" s="25" t="str">
        <f ca="1">language!A329</f>
        <v>Открытый коллектор</v>
      </c>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row>
    <row r="96" spans="1:172" ht="14.25" customHeight="1">
      <c r="A96" s="1"/>
      <c r="B96" s="1"/>
      <c r="C96" s="190"/>
      <c r="D96" s="190"/>
      <c r="E96" s="190"/>
      <c r="F96" s="190"/>
      <c r="G96" s="190"/>
      <c r="H96" s="1"/>
      <c r="I96" s="197"/>
      <c r="J96" s="1"/>
      <c r="K96" s="190"/>
      <c r="L96" s="190"/>
      <c r="M96" s="190"/>
      <c r="N96" s="190"/>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272"/>
      <c r="EI96" s="36">
        <v>2</v>
      </c>
      <c r="EJ96" s="25" t="s">
        <v>132</v>
      </c>
      <c r="EK96" s="25" t="s">
        <v>132</v>
      </c>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row>
    <row r="97" spans="1:172" ht="14.25" customHeight="1">
      <c r="A97" s="1"/>
      <c r="B97" s="1"/>
      <c r="C97" s="190"/>
      <c r="D97" s="190"/>
      <c r="E97" s="190"/>
      <c r="F97" s="190"/>
      <c r="G97" s="190"/>
      <c r="H97" s="1"/>
      <c r="I97" s="197"/>
      <c r="J97" s="1"/>
      <c r="K97" s="190"/>
      <c r="L97" s="190"/>
      <c r="M97" s="190"/>
      <c r="N97" s="190"/>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272"/>
      <c r="EI97" s="34">
        <v>3</v>
      </c>
      <c r="EJ97" s="25" t="str">
        <f ca="1">language!A328</f>
        <v>NAMUR</v>
      </c>
      <c r="EK97" s="25" t="str">
        <f ca="1">language!A329</f>
        <v>Открытый коллектор</v>
      </c>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row>
    <row r="98" spans="1:172" ht="14.25" customHeight="1">
      <c r="A98" s="1"/>
      <c r="B98" s="1"/>
      <c r="C98" s="190"/>
      <c r="D98" s="190"/>
      <c r="E98" s="190"/>
      <c r="F98" s="190"/>
      <c r="G98" s="190"/>
      <c r="H98" s="1"/>
      <c r="I98" s="197"/>
      <c r="J98" s="1"/>
      <c r="K98" s="190"/>
      <c r="L98" s="190"/>
      <c r="M98" s="190"/>
      <c r="N98" s="190"/>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272"/>
      <c r="EI98" s="36">
        <v>4</v>
      </c>
      <c r="EJ98" s="25" t="str">
        <f ca="1">language!A328</f>
        <v>NAMUR</v>
      </c>
      <c r="EK98" s="25" t="str">
        <f ca="1">language!A329</f>
        <v>Открытый коллектор</v>
      </c>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row>
    <row r="99" spans="1:172" ht="14.25" customHeight="1">
      <c r="A99" s="1"/>
      <c r="B99" s="1"/>
      <c r="C99" s="190"/>
      <c r="D99" s="190"/>
      <c r="E99" s="190"/>
      <c r="F99" s="190"/>
      <c r="G99" s="190"/>
      <c r="H99" s="1"/>
      <c r="I99" s="197"/>
      <c r="J99" s="1"/>
      <c r="K99" s="190"/>
      <c r="L99" s="190"/>
      <c r="M99" s="190"/>
      <c r="N99" s="190"/>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272"/>
      <c r="EI99" s="34">
        <v>5</v>
      </c>
      <c r="EJ99" s="25" t="str">
        <f ca="1">language!A328</f>
        <v>NAMUR</v>
      </c>
      <c r="EK99" s="25" t="str">
        <f ca="1">language!A329</f>
        <v>Открытый коллектор</v>
      </c>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row>
    <row r="100" spans="1:172" ht="14.25" customHeight="1">
      <c r="A100" s="1"/>
      <c r="B100" s="1"/>
      <c r="C100" s="190"/>
      <c r="D100" s="190"/>
      <c r="E100" s="190"/>
      <c r="F100" s="190"/>
      <c r="G100" s="190"/>
      <c r="H100" s="1"/>
      <c r="I100" s="197"/>
      <c r="J100" s="1"/>
      <c r="K100" s="190"/>
      <c r="L100" s="190"/>
      <c r="M100" s="190"/>
      <c r="N100" s="190"/>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272"/>
      <c r="EI100" s="34">
        <v>7</v>
      </c>
      <c r="EJ100" s="25" t="s">
        <v>132</v>
      </c>
      <c r="EK100" s="25" t="s">
        <v>132</v>
      </c>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row>
    <row r="101" spans="1:172" ht="14.25" customHeight="1">
      <c r="A101" s="1"/>
      <c r="B101" s="1"/>
      <c r="C101" s="190"/>
      <c r="D101" s="190"/>
      <c r="E101" s="190"/>
      <c r="F101" s="190"/>
      <c r="G101" s="190"/>
      <c r="H101" s="1"/>
      <c r="I101" s="197"/>
      <c r="J101" s="1"/>
      <c r="K101" s="190"/>
      <c r="L101" s="190"/>
      <c r="M101" s="190"/>
      <c r="N101" s="190"/>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272"/>
      <c r="EI101" s="34">
        <v>8</v>
      </c>
      <c r="EJ101" s="25" t="str">
        <f ca="1">language!A328</f>
        <v>NAMUR</v>
      </c>
      <c r="EK101" s="25" t="str">
        <f ca="1">language!A329</f>
        <v>Открытый коллектор</v>
      </c>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row>
    <row r="102" spans="1:172" ht="14.25" customHeight="1">
      <c r="A102" s="1"/>
      <c r="B102" s="1"/>
      <c r="C102" s="190"/>
      <c r="D102" s="190"/>
      <c r="E102" s="190"/>
      <c r="F102" s="190"/>
      <c r="G102" s="190"/>
      <c r="H102" s="1"/>
      <c r="I102" s="197"/>
      <c r="J102" s="1"/>
      <c r="K102" s="190"/>
      <c r="L102" s="190"/>
      <c r="M102" s="190"/>
      <c r="N102" s="190"/>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272"/>
      <c r="EI102" s="34">
        <v>9</v>
      </c>
      <c r="EJ102" s="25" t="s">
        <v>132</v>
      </c>
      <c r="EK102" s="25" t="s">
        <v>132</v>
      </c>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row>
    <row r="103" spans="1:172" ht="14.25" customHeight="1">
      <c r="A103" s="1"/>
      <c r="B103" s="1"/>
      <c r="C103" s="190"/>
      <c r="D103" s="190"/>
      <c r="E103" s="190"/>
      <c r="F103" s="190"/>
      <c r="G103" s="190"/>
      <c r="H103" s="1"/>
      <c r="I103" s="197"/>
      <c r="J103" s="1"/>
      <c r="K103" s="190"/>
      <c r="L103" s="190"/>
      <c r="M103" s="190"/>
      <c r="N103" s="190"/>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272"/>
      <c r="EI103" s="34">
        <v>10</v>
      </c>
      <c r="EJ103" s="25" t="s">
        <v>132</v>
      </c>
      <c r="EK103" s="25" t="s">
        <v>132</v>
      </c>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row>
    <row r="104" spans="1:172" ht="14.25" customHeight="1">
      <c r="A104" s="1"/>
      <c r="B104" s="1"/>
      <c r="C104" s="190"/>
      <c r="D104" s="190"/>
      <c r="E104" s="190"/>
      <c r="F104" s="190"/>
      <c r="G104" s="190"/>
      <c r="H104" s="1"/>
      <c r="I104" s="197"/>
      <c r="J104" s="1"/>
      <c r="K104" s="190"/>
      <c r="L104" s="190"/>
      <c r="M104" s="190"/>
      <c r="N104" s="190"/>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272"/>
      <c r="EI104" s="34">
        <v>11</v>
      </c>
      <c r="EJ104" s="25" t="s">
        <v>132</v>
      </c>
      <c r="EK104" s="25" t="s">
        <v>132</v>
      </c>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row>
    <row r="105" spans="1:172" ht="14.25" customHeight="1">
      <c r="A105" s="1"/>
      <c r="B105" s="1"/>
      <c r="C105" s="190"/>
      <c r="D105" s="190"/>
      <c r="E105" s="190"/>
      <c r="F105" s="190"/>
      <c r="G105" s="190"/>
      <c r="H105" s="1"/>
      <c r="I105" s="197"/>
      <c r="J105" s="1"/>
      <c r="K105" s="190"/>
      <c r="L105" s="190"/>
      <c r="M105" s="190"/>
      <c r="N105" s="190"/>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row>
    <row r="106" spans="1:172" ht="14.25" customHeight="1">
      <c r="A106" s="1"/>
      <c r="B106" s="1"/>
      <c r="C106" s="190"/>
      <c r="D106" s="190"/>
      <c r="E106" s="190"/>
      <c r="F106" s="190"/>
      <c r="G106" s="190"/>
      <c r="H106" s="1"/>
      <c r="I106" s="197"/>
      <c r="J106" s="1"/>
      <c r="K106" s="190"/>
      <c r="L106" s="190"/>
      <c r="M106" s="190"/>
      <c r="N106" s="190"/>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272"/>
      <c r="EI106" s="32" t="s">
        <v>431</v>
      </c>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row>
    <row r="107" spans="1:172" ht="14.25" customHeight="1">
      <c r="A107" s="1"/>
      <c r="B107" s="1"/>
      <c r="C107" s="190"/>
      <c r="D107" s="190"/>
      <c r="E107" s="190"/>
      <c r="F107" s="190"/>
      <c r="G107" s="190"/>
      <c r="H107" s="1"/>
      <c r="I107" s="197"/>
      <c r="J107" s="1"/>
      <c r="K107" s="190"/>
      <c r="L107" s="190"/>
      <c r="M107" s="190"/>
      <c r="N107" s="190"/>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272"/>
      <c r="EI107" s="27" t="s">
        <v>419</v>
      </c>
      <c r="EJ107"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07" s="33"/>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row>
    <row r="108" spans="1:172" ht="14.25" customHeight="1">
      <c r="A108" s="1"/>
      <c r="B108" s="1"/>
      <c r="C108" s="190"/>
      <c r="D108" s="190"/>
      <c r="E108" s="190"/>
      <c r="F108" s="190"/>
      <c r="G108" s="190"/>
      <c r="H108" s="1"/>
      <c r="I108" s="197"/>
      <c r="J108" s="1"/>
      <c r="K108" s="190"/>
      <c r="L108" s="190"/>
      <c r="M108" s="190"/>
      <c r="N108" s="190"/>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272"/>
      <c r="EI108" s="23" t="s">
        <v>420</v>
      </c>
      <c r="EJ108" s="24" t="e">
        <f>VLOOKUP($EJ$3,$EI109:$EK118,2,FALSE)</f>
        <v>#N/A</v>
      </c>
      <c r="EK108" s="24" t="e">
        <f>VLOOKUP($EJ$3,$EI109:$EK118,3,FALSE)</f>
        <v>#N/A</v>
      </c>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row>
    <row r="109" spans="1:172" ht="14.25" customHeight="1">
      <c r="A109" s="1"/>
      <c r="B109" s="1"/>
      <c r="C109" s="190"/>
      <c r="D109" s="190"/>
      <c r="E109" s="190"/>
      <c r="F109" s="190"/>
      <c r="G109" s="190"/>
      <c r="H109" s="1"/>
      <c r="I109" s="197"/>
      <c r="J109" s="1"/>
      <c r="K109" s="190"/>
      <c r="L109" s="190"/>
      <c r="M109" s="190"/>
      <c r="N109" s="190"/>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272"/>
      <c r="EI109" s="34">
        <v>1</v>
      </c>
      <c r="EJ109" s="32" t="str">
        <f ca="1">language!$A$335</f>
        <v>нормально закрытый</v>
      </c>
      <c r="EK109" s="32" t="str">
        <f ca="1">language!$A$334</f>
        <v>нормально открытый</v>
      </c>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row>
    <row r="110" spans="1:172" ht="14.25" customHeight="1">
      <c r="A110" s="1"/>
      <c r="B110" s="1"/>
      <c r="C110" s="190"/>
      <c r="D110" s="190"/>
      <c r="E110" s="190"/>
      <c r="F110" s="190"/>
      <c r="G110" s="190"/>
      <c r="H110" s="1"/>
      <c r="I110" s="197"/>
      <c r="J110" s="1"/>
      <c r="K110" s="190"/>
      <c r="L110" s="190"/>
      <c r="M110" s="190"/>
      <c r="N110" s="190"/>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272"/>
      <c r="EI110" s="34">
        <v>2</v>
      </c>
      <c r="EJ110" s="32" t="str">
        <f ca="1">language!$A$335</f>
        <v>нормально закрытый</v>
      </c>
      <c r="EK110" s="32" t="str">
        <f ca="1">language!$A$334</f>
        <v>нормально открытый</v>
      </c>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row>
    <row r="111" spans="1:172" ht="14.25" customHeight="1">
      <c r="A111" s="1"/>
      <c r="B111" s="1"/>
      <c r="C111" s="190"/>
      <c r="D111" s="190"/>
      <c r="E111" s="190"/>
      <c r="F111" s="190"/>
      <c r="G111" s="190"/>
      <c r="H111" s="1"/>
      <c r="I111" s="197"/>
      <c r="J111" s="1"/>
      <c r="K111" s="190"/>
      <c r="L111" s="190"/>
      <c r="M111" s="190"/>
      <c r="N111" s="190"/>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272"/>
      <c r="EI111" s="34">
        <v>3</v>
      </c>
      <c r="EJ111" s="32" t="str">
        <f ca="1">language!$A$335</f>
        <v>нормально закрытый</v>
      </c>
      <c r="EK111" s="32" t="str">
        <f ca="1">language!$A$334</f>
        <v>нормально открытый</v>
      </c>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row>
    <row r="112" spans="1:172" ht="14.25" customHeight="1">
      <c r="A112" s="1"/>
      <c r="B112" s="1"/>
      <c r="C112" s="190"/>
      <c r="D112" s="190"/>
      <c r="E112" s="190"/>
      <c r="F112" s="190"/>
      <c r="G112" s="190"/>
      <c r="H112" s="1"/>
      <c r="I112" s="197"/>
      <c r="J112" s="1"/>
      <c r="K112" s="190"/>
      <c r="L112" s="190"/>
      <c r="M112" s="190"/>
      <c r="N112" s="190"/>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272"/>
      <c r="EI112" s="34">
        <v>4</v>
      </c>
      <c r="EJ112" s="32" t="s">
        <v>132</v>
      </c>
      <c r="EK112" s="32" t="s">
        <v>132</v>
      </c>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row>
    <row r="113" spans="1:172" ht="14.25" customHeight="1">
      <c r="A113" s="1"/>
      <c r="B113" s="1"/>
      <c r="C113" s="190"/>
      <c r="D113" s="190"/>
      <c r="E113" s="190"/>
      <c r="F113" s="190"/>
      <c r="G113" s="190"/>
      <c r="H113" s="1"/>
      <c r="I113" s="197"/>
      <c r="J113" s="1"/>
      <c r="K113" s="190"/>
      <c r="L113" s="190"/>
      <c r="M113" s="190"/>
      <c r="N113" s="190"/>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272"/>
      <c r="EI113" s="34">
        <v>5</v>
      </c>
      <c r="EJ113" s="32" t="s">
        <v>132</v>
      </c>
      <c r="EK113" s="32" t="s">
        <v>132</v>
      </c>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row>
    <row r="114" spans="1:172" ht="14.25" customHeight="1">
      <c r="A114" s="1"/>
      <c r="B114" s="1"/>
      <c r="C114" s="190"/>
      <c r="D114" s="190"/>
      <c r="E114" s="190"/>
      <c r="F114" s="190"/>
      <c r="G114" s="190"/>
      <c r="H114" s="1"/>
      <c r="I114" s="197"/>
      <c r="J114" s="1"/>
      <c r="K114" s="190"/>
      <c r="L114" s="190"/>
      <c r="M114" s="190"/>
      <c r="N114" s="190"/>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272"/>
      <c r="EI114" s="34">
        <v>7</v>
      </c>
      <c r="EJ114" s="32" t="s">
        <v>132</v>
      </c>
      <c r="EK114" s="32" t="s">
        <v>132</v>
      </c>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row>
    <row r="115" spans="1:172" ht="14.25" customHeight="1">
      <c r="A115" s="1"/>
      <c r="B115" s="1"/>
      <c r="C115" s="190"/>
      <c r="D115" s="190"/>
      <c r="E115" s="190"/>
      <c r="F115" s="190"/>
      <c r="G115" s="190"/>
      <c r="H115" s="1"/>
      <c r="I115" s="197"/>
      <c r="J115" s="1"/>
      <c r="K115" s="190"/>
      <c r="L115" s="190"/>
      <c r="M115" s="190"/>
      <c r="N115" s="190"/>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272"/>
      <c r="EI115" s="34">
        <v>8</v>
      </c>
      <c r="EJ115" s="32" t="s">
        <v>132</v>
      </c>
      <c r="EK115" s="32" t="s">
        <v>132</v>
      </c>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row>
    <row r="116" spans="1:172" ht="14.25" customHeight="1">
      <c r="A116" s="1"/>
      <c r="B116" s="1"/>
      <c r="C116" s="190"/>
      <c r="D116" s="190"/>
      <c r="E116" s="190"/>
      <c r="F116" s="190"/>
      <c r="G116" s="190"/>
      <c r="H116" s="1"/>
      <c r="I116" s="197"/>
      <c r="J116" s="1"/>
      <c r="K116" s="190"/>
      <c r="L116" s="190"/>
      <c r="M116" s="190"/>
      <c r="N116" s="190"/>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272"/>
      <c r="EI116" s="34">
        <v>9</v>
      </c>
      <c r="EJ116" s="25" t="s">
        <v>132</v>
      </c>
      <c r="EK116" s="25" t="s">
        <v>132</v>
      </c>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row>
    <row r="117" spans="1:172" ht="14.25" customHeight="1">
      <c r="A117" s="1"/>
      <c r="B117" s="1"/>
      <c r="C117" s="190"/>
      <c r="D117" s="190"/>
      <c r="E117" s="190"/>
      <c r="F117" s="190"/>
      <c r="G117" s="190"/>
      <c r="H117" s="1"/>
      <c r="I117" s="197"/>
      <c r="J117" s="1"/>
      <c r="K117" s="190"/>
      <c r="L117" s="190"/>
      <c r="M117" s="190"/>
      <c r="N117" s="190"/>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272"/>
      <c r="EI117" s="34">
        <v>10</v>
      </c>
      <c r="EJ117" s="25" t="s">
        <v>132</v>
      </c>
      <c r="EK117" s="25" t="s">
        <v>132</v>
      </c>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row>
    <row r="118" spans="1:172" ht="14.25" customHeight="1">
      <c r="A118" s="1"/>
      <c r="B118" s="1"/>
      <c r="C118" s="190"/>
      <c r="D118" s="190"/>
      <c r="E118" s="190"/>
      <c r="F118" s="190"/>
      <c r="G118" s="190"/>
      <c r="H118" s="1"/>
      <c r="I118" s="197"/>
      <c r="J118" s="1"/>
      <c r="K118" s="190"/>
      <c r="L118" s="190"/>
      <c r="M118" s="190"/>
      <c r="N118" s="190"/>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272"/>
      <c r="EI118" s="34">
        <v>11</v>
      </c>
      <c r="EJ118" s="25" t="s">
        <v>132</v>
      </c>
      <c r="EK118" s="25" t="s">
        <v>132</v>
      </c>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row>
    <row r="119" spans="1:172" ht="14.25" customHeight="1">
      <c r="A119" s="1"/>
      <c r="B119" s="1"/>
      <c r="C119" s="190"/>
      <c r="D119" s="190"/>
      <c r="E119" s="190"/>
      <c r="F119" s="190"/>
      <c r="G119" s="190"/>
      <c r="H119" s="1"/>
      <c r="I119" s="197"/>
      <c r="J119" s="1"/>
      <c r="K119" s="190"/>
      <c r="L119" s="190"/>
      <c r="M119" s="190"/>
      <c r="N119" s="190"/>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row>
    <row r="120" spans="1:172" ht="14.25" customHeight="1">
      <c r="A120" s="1"/>
      <c r="B120" s="1"/>
      <c r="C120" s="190"/>
      <c r="D120" s="190"/>
      <c r="E120" s="190"/>
      <c r="F120" s="190"/>
      <c r="G120" s="190"/>
      <c r="H120" s="1"/>
      <c r="I120" s="197"/>
      <c r="J120" s="1"/>
      <c r="K120" s="190"/>
      <c r="L120" s="190"/>
      <c r="M120" s="190"/>
      <c r="N120" s="190"/>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row>
    <row r="121" spans="1:172" ht="14.25" customHeight="1">
      <c r="A121" s="1"/>
      <c r="B121" s="1"/>
      <c r="C121" s="190"/>
      <c r="D121" s="190"/>
      <c r="E121" s="190"/>
      <c r="F121" s="190"/>
      <c r="G121" s="190"/>
      <c r="H121" s="1"/>
      <c r="I121" s="197"/>
      <c r="J121" s="1"/>
      <c r="K121" s="190"/>
      <c r="L121" s="190"/>
      <c r="M121" s="190"/>
      <c r="N121" s="190"/>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272"/>
      <c r="EI121" s="32" t="s">
        <v>432</v>
      </c>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row>
    <row r="122" spans="1:172" ht="14.25" customHeight="1">
      <c r="A122" s="1"/>
      <c r="B122" s="1"/>
      <c r="C122" s="190"/>
      <c r="D122" s="190"/>
      <c r="E122" s="190"/>
      <c r="F122" s="190"/>
      <c r="G122" s="190"/>
      <c r="H122" s="1"/>
      <c r="I122" s="197"/>
      <c r="J122" s="1"/>
      <c r="K122" s="190"/>
      <c r="L122" s="190"/>
      <c r="M122" s="190"/>
      <c r="N122" s="190"/>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272"/>
      <c r="EI122" s="27" t="s">
        <v>419</v>
      </c>
      <c r="EJ122"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22" s="33"/>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row>
    <row r="123" spans="1:172" ht="14.25" customHeight="1">
      <c r="A123" s="1"/>
      <c r="B123" s="1"/>
      <c r="C123" s="190"/>
      <c r="D123" s="190"/>
      <c r="E123" s="190"/>
      <c r="F123" s="190"/>
      <c r="G123" s="190"/>
      <c r="H123" s="1"/>
      <c r="I123" s="197"/>
      <c r="J123" s="1"/>
      <c r="K123" s="190"/>
      <c r="L123" s="190"/>
      <c r="M123" s="190"/>
      <c r="N123" s="190"/>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272"/>
      <c r="EI123" s="35" t="s">
        <v>1090</v>
      </c>
      <c r="EJ123" s="32" t="str">
        <f ca="1">language!$A$335</f>
        <v>нормально закрытый</v>
      </c>
      <c r="EK123" s="32" t="str">
        <f ca="1">language!$A$334</f>
        <v>нормально открытый</v>
      </c>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row>
    <row r="124" spans="1:172" ht="14.25" customHeight="1">
      <c r="A124" s="1"/>
      <c r="B124" s="1"/>
      <c r="C124" s="190"/>
      <c r="D124" s="190"/>
      <c r="E124" s="190"/>
      <c r="F124" s="190"/>
      <c r="G124" s="190"/>
      <c r="H124" s="1"/>
      <c r="I124" s="197"/>
      <c r="J124" s="1"/>
      <c r="K124" s="190"/>
      <c r="L124" s="190"/>
      <c r="M124" s="190"/>
      <c r="N124" s="190"/>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34"/>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row>
    <row r="125" spans="1:172" ht="14.25" customHeight="1">
      <c r="A125" s="1"/>
      <c r="B125" s="1"/>
      <c r="C125" s="190"/>
      <c r="D125" s="190"/>
      <c r="E125" s="190"/>
      <c r="F125" s="190"/>
      <c r="G125" s="190"/>
      <c r="H125" s="1"/>
      <c r="I125" s="197"/>
      <c r="J125" s="1"/>
      <c r="K125" s="190"/>
      <c r="L125" s="190"/>
      <c r="M125" s="190"/>
      <c r="N125" s="190"/>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272"/>
      <c r="EI125" s="32" t="s">
        <v>433</v>
      </c>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row>
    <row r="126" spans="1:172" ht="14.25" customHeight="1">
      <c r="A126" s="1"/>
      <c r="B126" s="1"/>
      <c r="C126" s="190"/>
      <c r="D126" s="190"/>
      <c r="E126" s="190"/>
      <c r="F126" s="190"/>
      <c r="G126" s="190"/>
      <c r="H126" s="1"/>
      <c r="I126" s="197"/>
      <c r="J126" s="1"/>
      <c r="K126" s="190"/>
      <c r="L126" s="190"/>
      <c r="M126" s="190"/>
      <c r="N126" s="190"/>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272"/>
      <c r="EI126" s="27" t="s">
        <v>419</v>
      </c>
      <c r="EJ126"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26" s="33"/>
      <c r="EL126" s="33"/>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row>
    <row r="127" spans="1:172" ht="14.25" customHeight="1">
      <c r="A127" s="1"/>
      <c r="B127" s="1"/>
      <c r="C127" s="190"/>
      <c r="D127" s="190"/>
      <c r="E127" s="190"/>
      <c r="F127" s="190"/>
      <c r="G127" s="190"/>
      <c r="H127" s="1"/>
      <c r="I127" s="197"/>
      <c r="J127" s="1"/>
      <c r="K127" s="190"/>
      <c r="L127" s="190"/>
      <c r="M127" s="190"/>
      <c r="N127" s="190"/>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272"/>
      <c r="EI127" s="23" t="s">
        <v>420</v>
      </c>
      <c r="EJ127" s="24" t="e">
        <f>VLOOKUP($EJ$3,$EI128:$EL137,2,FALSE)</f>
        <v>#N/A</v>
      </c>
      <c r="EK127" s="24" t="e">
        <f>VLOOKUP($EJ$3,$EI127:$EL137,3,FALSE)</f>
        <v>#N/A</v>
      </c>
      <c r="EL127" s="24" t="e">
        <f>VLOOKUP($EJ$141,$EI128:$EL137,4,FALSE)</f>
        <v>#N/A</v>
      </c>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row>
    <row r="128" spans="1:172" ht="14.25" customHeight="1">
      <c r="A128" s="1"/>
      <c r="B128" s="1"/>
      <c r="C128" s="190"/>
      <c r="D128" s="190"/>
      <c r="E128" s="190"/>
      <c r="F128" s="190"/>
      <c r="G128" s="190"/>
      <c r="H128" s="1"/>
      <c r="I128" s="197"/>
      <c r="J128" s="1"/>
      <c r="K128" s="190"/>
      <c r="L128" s="190"/>
      <c r="M128" s="190"/>
      <c r="N128" s="190"/>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272"/>
      <c r="EI128" s="34">
        <v>1</v>
      </c>
      <c r="EJ128" s="32" t="str">
        <f ca="1">language!$A$335</f>
        <v>нормально закрытый</v>
      </c>
      <c r="EK128" s="32" t="str">
        <f ca="1">language!$A$334</f>
        <v>нормально открытый</v>
      </c>
      <c r="EL128" s="32" t="str">
        <f ca="1">language!$A$334</f>
        <v>нормально открытый</v>
      </c>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row>
    <row r="129" spans="1:172" ht="14.25" customHeight="1">
      <c r="A129" s="1"/>
      <c r="B129" s="1"/>
      <c r="C129" s="190"/>
      <c r="D129" s="190"/>
      <c r="E129" s="190"/>
      <c r="F129" s="190"/>
      <c r="G129" s="190"/>
      <c r="H129" s="1"/>
      <c r="I129" s="197"/>
      <c r="J129" s="1"/>
      <c r="K129" s="190"/>
      <c r="L129" s="190"/>
      <c r="M129" s="190"/>
      <c r="N129" s="190"/>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272"/>
      <c r="EI129" s="36">
        <v>2</v>
      </c>
      <c r="EJ129" s="25" t="s">
        <v>132</v>
      </c>
      <c r="EK129" s="25" t="s">
        <v>132</v>
      </c>
      <c r="EL129" s="32" t="s">
        <v>132</v>
      </c>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row>
    <row r="130" spans="1:172" ht="14.25" customHeight="1">
      <c r="A130" s="1"/>
      <c r="B130" s="1"/>
      <c r="C130" s="190"/>
      <c r="D130" s="190"/>
      <c r="E130" s="190"/>
      <c r="F130" s="190"/>
      <c r="G130" s="190"/>
      <c r="H130" s="1"/>
      <c r="I130" s="197"/>
      <c r="J130" s="1"/>
      <c r="K130" s="190"/>
      <c r="L130" s="190"/>
      <c r="M130" s="190"/>
      <c r="N130" s="190"/>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272"/>
      <c r="EI130" s="34">
        <v>3</v>
      </c>
      <c r="EJ130" s="32" t="str">
        <f ca="1">language!$A$335</f>
        <v>нормально закрытый</v>
      </c>
      <c r="EK130" s="32" t="str">
        <f ca="1">language!$A$334</f>
        <v>нормально открытый</v>
      </c>
      <c r="EL130" s="32" t="str">
        <f ca="1">language!$A$334</f>
        <v>нормально открытый</v>
      </c>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row>
    <row r="131" spans="1:172" ht="14.25" customHeight="1">
      <c r="A131" s="1"/>
      <c r="B131" s="1"/>
      <c r="C131" s="190"/>
      <c r="D131" s="190"/>
      <c r="E131" s="190"/>
      <c r="F131" s="190"/>
      <c r="G131" s="190"/>
      <c r="H131" s="1"/>
      <c r="I131" s="197"/>
      <c r="J131" s="1"/>
      <c r="K131" s="190"/>
      <c r="L131" s="190"/>
      <c r="M131" s="190"/>
      <c r="N131" s="190"/>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272"/>
      <c r="EI131" s="36">
        <v>4</v>
      </c>
      <c r="EJ131" s="32" t="str">
        <f ca="1">language!$A$335</f>
        <v>нормально закрытый</v>
      </c>
      <c r="EK131" s="32" t="str">
        <f ca="1">language!$A$334</f>
        <v>нормально открытый</v>
      </c>
      <c r="EL131" s="32" t="str">
        <f ca="1">language!$A$334</f>
        <v>нормально открытый</v>
      </c>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row>
    <row r="132" spans="1:172" ht="14.25" customHeight="1">
      <c r="A132" s="1"/>
      <c r="B132" s="1"/>
      <c r="C132" s="190"/>
      <c r="D132" s="190"/>
      <c r="E132" s="190"/>
      <c r="F132" s="190"/>
      <c r="G132" s="190"/>
      <c r="H132" s="1"/>
      <c r="I132" s="197"/>
      <c r="J132" s="1"/>
      <c r="K132" s="190"/>
      <c r="L132" s="190"/>
      <c r="M132" s="190"/>
      <c r="N132" s="190"/>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272"/>
      <c r="EI132" s="34">
        <v>5</v>
      </c>
      <c r="EJ132" s="32" t="str">
        <f ca="1">language!$A$335</f>
        <v>нормально закрытый</v>
      </c>
      <c r="EK132" s="32" t="str">
        <f ca="1">language!$A$334</f>
        <v>нормально открытый</v>
      </c>
      <c r="EL132" s="32" t="str">
        <f ca="1">language!$A$334</f>
        <v>нормально открытый</v>
      </c>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row>
    <row r="133" spans="1:172" ht="14.25" customHeight="1">
      <c r="A133" s="1"/>
      <c r="B133" s="1"/>
      <c r="C133" s="190"/>
      <c r="D133" s="190"/>
      <c r="E133" s="190"/>
      <c r="F133" s="190"/>
      <c r="G133" s="190"/>
      <c r="H133" s="1"/>
      <c r="I133" s="197"/>
      <c r="J133" s="1"/>
      <c r="K133" s="190"/>
      <c r="L133" s="190"/>
      <c r="M133" s="190"/>
      <c r="N133" s="190"/>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272"/>
      <c r="EI133" s="34">
        <v>7</v>
      </c>
      <c r="EJ133" s="25" t="s">
        <v>132</v>
      </c>
      <c r="EK133" s="25" t="s">
        <v>132</v>
      </c>
      <c r="EL133" s="32" t="s">
        <v>132</v>
      </c>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row>
    <row r="134" spans="1:172" ht="14.25" customHeight="1">
      <c r="A134" s="1"/>
      <c r="B134" s="1"/>
      <c r="C134" s="190"/>
      <c r="D134" s="190"/>
      <c r="E134" s="190"/>
      <c r="F134" s="190"/>
      <c r="G134" s="190"/>
      <c r="H134" s="1"/>
      <c r="I134" s="197"/>
      <c r="J134" s="1"/>
      <c r="K134" s="190"/>
      <c r="L134" s="190"/>
      <c r="M134" s="190"/>
      <c r="N134" s="190"/>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272"/>
      <c r="EI134" s="34">
        <v>8</v>
      </c>
      <c r="EJ134" s="32" t="str">
        <f ca="1">language!$A$335</f>
        <v>нормально закрытый</v>
      </c>
      <c r="EK134" s="32" t="str">
        <f ca="1">language!$A$334</f>
        <v>нормально открытый</v>
      </c>
      <c r="EL134" s="32" t="str">
        <f ca="1">language!$A$334</f>
        <v>нормально открытый</v>
      </c>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row>
    <row r="135" spans="1:172" ht="14.25" customHeight="1">
      <c r="A135" s="1"/>
      <c r="B135" s="1"/>
      <c r="C135" s="190"/>
      <c r="D135" s="190"/>
      <c r="E135" s="190"/>
      <c r="F135" s="190"/>
      <c r="G135" s="190"/>
      <c r="H135" s="1"/>
      <c r="I135" s="197"/>
      <c r="J135" s="1"/>
      <c r="K135" s="190"/>
      <c r="L135" s="190"/>
      <c r="M135" s="190"/>
      <c r="N135" s="190"/>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272"/>
      <c r="EI135" s="34">
        <v>9</v>
      </c>
      <c r="EJ135" s="25" t="s">
        <v>132</v>
      </c>
      <c r="EK135" s="25" t="s">
        <v>132</v>
      </c>
      <c r="EL135" s="32" t="s">
        <v>132</v>
      </c>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row>
    <row r="136" spans="1:172" ht="14.25" customHeight="1">
      <c r="A136" s="1"/>
      <c r="B136" s="1"/>
      <c r="C136" s="190"/>
      <c r="D136" s="190"/>
      <c r="E136" s="190"/>
      <c r="F136" s="190"/>
      <c r="G136" s="190"/>
      <c r="H136" s="1"/>
      <c r="I136" s="197"/>
      <c r="J136" s="1"/>
      <c r="K136" s="190"/>
      <c r="L136" s="190"/>
      <c r="M136" s="190"/>
      <c r="N136" s="190"/>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272"/>
      <c r="EI136" s="34">
        <v>10</v>
      </c>
      <c r="EJ136" s="32" t="str">
        <f ca="1">language!$A$335</f>
        <v>нормально закрытый</v>
      </c>
      <c r="EK136" s="32" t="str">
        <f ca="1">language!$A$334</f>
        <v>нормально открытый</v>
      </c>
      <c r="EL136" s="32" t="str">
        <f ca="1">language!$A$334</f>
        <v>нормально открытый</v>
      </c>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row>
    <row r="137" spans="1:172" ht="14.25" customHeight="1">
      <c r="A137" s="1"/>
      <c r="B137" s="1"/>
      <c r="C137" s="190"/>
      <c r="D137" s="190"/>
      <c r="E137" s="190"/>
      <c r="F137" s="190"/>
      <c r="G137" s="190"/>
      <c r="H137" s="1"/>
      <c r="I137" s="197"/>
      <c r="J137" s="1"/>
      <c r="K137" s="190"/>
      <c r="L137" s="190"/>
      <c r="M137" s="190"/>
      <c r="N137" s="190"/>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272"/>
      <c r="EI137" s="34">
        <v>11</v>
      </c>
      <c r="EJ137" s="25" t="s">
        <v>132</v>
      </c>
      <c r="EK137" s="25" t="s">
        <v>132</v>
      </c>
      <c r="EL137" s="32" t="s">
        <v>132</v>
      </c>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row>
    <row r="138" spans="1:172" ht="14.25" customHeight="1">
      <c r="A138" s="1"/>
      <c r="B138" s="1"/>
      <c r="C138" s="190"/>
      <c r="D138" s="190"/>
      <c r="E138" s="190"/>
      <c r="F138" s="190"/>
      <c r="G138" s="190"/>
      <c r="H138" s="1"/>
      <c r="I138" s="197"/>
      <c r="J138" s="1"/>
      <c r="K138" s="190"/>
      <c r="L138" s="190"/>
      <c r="M138" s="190"/>
      <c r="N138" s="190"/>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row>
    <row r="139" spans="1:172" ht="14.25" customHeight="1">
      <c r="A139" s="1"/>
      <c r="B139" s="1"/>
      <c r="C139" s="190"/>
      <c r="D139" s="190"/>
      <c r="E139" s="190"/>
      <c r="F139" s="190"/>
      <c r="G139" s="190"/>
      <c r="H139" s="1"/>
      <c r="I139" s="197"/>
      <c r="J139" s="1"/>
      <c r="K139" s="190"/>
      <c r="L139" s="190"/>
      <c r="M139" s="190"/>
      <c r="N139" s="190"/>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L139" s="32" t="s">
        <v>132</v>
      </c>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row>
    <row r="140" spans="1:172" ht="14.25" customHeight="1">
      <c r="A140" s="1"/>
      <c r="B140" s="1"/>
      <c r="C140" s="190"/>
      <c r="D140" s="190"/>
      <c r="E140" s="190"/>
      <c r="F140" s="190"/>
      <c r="G140" s="190"/>
      <c r="H140" s="1"/>
      <c r="I140" s="197"/>
      <c r="J140" s="1"/>
      <c r="K140" s="190"/>
      <c r="L140" s="190"/>
      <c r="M140" s="190"/>
      <c r="N140" s="190"/>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273"/>
      <c r="EI140" s="50" t="s">
        <v>418</v>
      </c>
      <c r="EJ140" s="50" t="s">
        <v>182</v>
      </c>
      <c r="EL140" s="32" t="s">
        <v>132</v>
      </c>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row>
    <row r="141" spans="1:172" ht="14.25" customHeight="1">
      <c r="A141" s="1"/>
      <c r="B141" s="1"/>
      <c r="C141" s="190"/>
      <c r="D141" s="190"/>
      <c r="E141" s="190"/>
      <c r="F141" s="190"/>
      <c r="G141" s="190"/>
      <c r="H141" s="1"/>
      <c r="I141" s="197"/>
      <c r="J141" s="1"/>
      <c r="K141" s="190"/>
      <c r="L141" s="190"/>
      <c r="M141" s="190"/>
      <c r="N141" s="190"/>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273"/>
      <c r="EI141" s="32" t="s">
        <v>419</v>
      </c>
      <c r="EJ141"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41" s="28"/>
      <c r="EL141" s="28" t="s">
        <v>132</v>
      </c>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row>
    <row r="142" spans="1:172" ht="14.25" customHeight="1">
      <c r="A142" s="1"/>
      <c r="B142" s="1"/>
      <c r="C142" s="190"/>
      <c r="D142" s="190"/>
      <c r="E142" s="190"/>
      <c r="F142" s="190"/>
      <c r="G142" s="190"/>
      <c r="H142" s="1"/>
      <c r="I142" s="197"/>
      <c r="J142" s="1"/>
      <c r="K142" s="190"/>
      <c r="L142" s="190"/>
      <c r="M142" s="190"/>
      <c r="N142" s="190"/>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273"/>
      <c r="EI142" s="32" t="s">
        <v>420</v>
      </c>
      <c r="EJ142" s="24" t="e">
        <f>VLOOKUP($EJ$141,$EI143:$EL149,2,FALSE)</f>
        <v>#N/A</v>
      </c>
      <c r="EK142" s="24" t="e">
        <f>VLOOKUP($EJ$141,$EI143:$EL149,3,FALSE)</f>
        <v>#N/A</v>
      </c>
      <c r="EL142" s="24" t="e">
        <f>VLOOKUP($EJ$141,$EI143:$EL149,4,FALSE)</f>
        <v>#N/A</v>
      </c>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row>
    <row r="143" spans="1:172" ht="14.25" customHeight="1">
      <c r="A143" s="1"/>
      <c r="B143" s="1"/>
      <c r="C143" s="190"/>
      <c r="D143" s="190"/>
      <c r="E143" s="190"/>
      <c r="F143" s="190"/>
      <c r="G143" s="190"/>
      <c r="H143" s="1"/>
      <c r="I143" s="197"/>
      <c r="J143" s="1"/>
      <c r="K143" s="190"/>
      <c r="L143" s="190"/>
      <c r="M143" s="190"/>
      <c r="N143" s="190"/>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273"/>
      <c r="EI143" s="32">
        <v>1</v>
      </c>
      <c r="EJ143" s="25" t="str">
        <f ca="1">language!$A$346</f>
        <v>Объём (р.у.), нет импульсов если нет достоверного резултата</v>
      </c>
      <c r="EK143" s="25" t="str">
        <f ca="1">language!A328</f>
        <v>NAMUR</v>
      </c>
      <c r="EL143" s="32" t="str">
        <f ca="1">language!$A$334</f>
        <v>нормально открытый</v>
      </c>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row>
    <row r="144" spans="1:172" ht="14.25" customHeight="1">
      <c r="A144" s="1"/>
      <c r="B144" s="1"/>
      <c r="C144" s="190"/>
      <c r="D144" s="190"/>
      <c r="E144" s="190"/>
      <c r="F144" s="190"/>
      <c r="G144" s="190"/>
      <c r="H144" s="1"/>
      <c r="I144" s="197"/>
      <c r="J144" s="1"/>
      <c r="K144" s="190"/>
      <c r="L144" s="190"/>
      <c r="M144" s="190"/>
      <c r="N144" s="190"/>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273"/>
      <c r="EI144" s="32">
        <v>2</v>
      </c>
      <c r="EJ144" s="25" t="str">
        <f ca="1">language!$A$346</f>
        <v>Объём (р.у.), нет импульсов если нет достоверного резултата</v>
      </c>
      <c r="EK144" s="25" t="str">
        <f ca="1">language!A328</f>
        <v>NAMUR</v>
      </c>
      <c r="EL144" s="32" t="str">
        <f ca="1">language!$A$334</f>
        <v>нормально открытый</v>
      </c>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row>
    <row r="145" spans="1:172" ht="14.25" customHeight="1">
      <c r="A145" s="1"/>
      <c r="B145" s="1"/>
      <c r="C145" s="190"/>
      <c r="D145" s="190"/>
      <c r="E145" s="190"/>
      <c r="F145" s="190"/>
      <c r="G145" s="190"/>
      <c r="H145" s="1"/>
      <c r="I145" s="197"/>
      <c r="J145" s="1"/>
      <c r="K145" s="190"/>
      <c r="L145" s="190"/>
      <c r="M145" s="190"/>
      <c r="N145" s="190"/>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273"/>
      <c r="EI145" s="32">
        <v>3</v>
      </c>
      <c r="EJ145" s="25" t="str">
        <f ca="1">language!$A$353</f>
        <v>Статус Сбой</v>
      </c>
      <c r="EK145" s="25" t="str">
        <f ca="1">language!A328</f>
        <v>NAMUR</v>
      </c>
      <c r="EL145" s="32" t="str">
        <f ca="1">language!$A$334</f>
        <v>нормально открытый</v>
      </c>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row>
    <row r="146" spans="1:172" ht="14.25" customHeight="1">
      <c r="A146" s="1"/>
      <c r="B146" s="1"/>
      <c r="C146" s="190"/>
      <c r="D146" s="190"/>
      <c r="E146" s="190"/>
      <c r="F146" s="190"/>
      <c r="G146" s="190"/>
      <c r="H146" s="1"/>
      <c r="I146" s="197"/>
      <c r="J146" s="1"/>
      <c r="K146" s="190"/>
      <c r="L146" s="190"/>
      <c r="M146" s="190"/>
      <c r="N146" s="190"/>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273"/>
      <c r="EI146" s="32">
        <v>4</v>
      </c>
      <c r="EJ146" s="25" t="str">
        <f ca="1">language!A357</f>
        <v>Расход (р.у.)</v>
      </c>
      <c r="EK146" s="25" t="str">
        <f ca="1">language!$A$332</f>
        <v>пассивный</v>
      </c>
      <c r="EL146" s="32" t="str">
        <f ca="1">language!$A$334</f>
        <v>нормально открытый</v>
      </c>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row>
    <row r="147" spans="1:172" ht="14.25" customHeight="1">
      <c r="A147" s="1"/>
      <c r="B147" s="1"/>
      <c r="C147" s="190"/>
      <c r="D147" s="190"/>
      <c r="E147" s="190"/>
      <c r="F147" s="190"/>
      <c r="G147" s="190"/>
      <c r="H147" s="1"/>
      <c r="I147" s="197"/>
      <c r="J147" s="1"/>
      <c r="K147" s="190"/>
      <c r="L147" s="190"/>
      <c r="M147" s="190"/>
      <c r="N147" s="190"/>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273"/>
      <c r="EI147" s="32">
        <v>5</v>
      </c>
      <c r="EJ147" s="25" t="str">
        <f ca="1">language!A357</f>
        <v>Расход (р.у.)</v>
      </c>
      <c r="EK147" s="25" t="str">
        <f ca="1">language!$A$332</f>
        <v>пассивный</v>
      </c>
      <c r="EL147" s="32" t="str">
        <f ca="1">language!$A$334</f>
        <v>нормально открытый</v>
      </c>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row>
    <row r="148" spans="1:172" ht="14.25" customHeight="1">
      <c r="A148" s="1"/>
      <c r="B148" s="1"/>
      <c r="C148" s="190"/>
      <c r="D148" s="190"/>
      <c r="E148" s="190"/>
      <c r="F148" s="190"/>
      <c r="G148" s="190"/>
      <c r="H148" s="1"/>
      <c r="I148" s="197"/>
      <c r="J148" s="1"/>
      <c r="K148" s="190"/>
      <c r="L148" s="190"/>
      <c r="M148" s="190"/>
      <c r="N148" s="190"/>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273"/>
      <c r="EI148" s="32">
        <v>6</v>
      </c>
      <c r="EJ148" s="25" t="str">
        <f ca="1">language!A361</f>
        <v>Подключение Р и Т датчиков</v>
      </c>
      <c r="EK148" s="32" t="s">
        <v>132</v>
      </c>
      <c r="EL148" s="32" t="str">
        <f ca="1">language!$A$334</f>
        <v>нормально открытый</v>
      </c>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row>
    <row r="149" spans="1:172" ht="14.25" customHeight="1">
      <c r="A149" s="1"/>
      <c r="B149" s="1"/>
      <c r="C149" s="190"/>
      <c r="D149" s="190"/>
      <c r="E149" s="190"/>
      <c r="F149" s="190"/>
      <c r="G149" s="190"/>
      <c r="H149" s="1"/>
      <c r="I149" s="197"/>
      <c r="J149" s="1"/>
      <c r="K149" s="190"/>
      <c r="L149" s="190"/>
      <c r="M149" s="190"/>
      <c r="N149" s="190"/>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273"/>
      <c r="EI149" s="32">
        <v>7</v>
      </c>
      <c r="EJ149" s="25" t="str">
        <f ca="1">language!A357</f>
        <v>Расход (р.у.)</v>
      </c>
      <c r="EK149" s="25" t="str">
        <f ca="1">language!$A$332</f>
        <v>пассивный</v>
      </c>
      <c r="EL149" s="32" t="str">
        <f ca="1">language!$A$334</f>
        <v>нормально открытый</v>
      </c>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row>
    <row r="150" spans="1:172" ht="14.25" customHeight="1">
      <c r="A150" s="1"/>
      <c r="B150" s="1"/>
      <c r="C150" s="190"/>
      <c r="D150" s="190"/>
      <c r="E150" s="190"/>
      <c r="F150" s="190"/>
      <c r="G150" s="190"/>
      <c r="H150" s="1"/>
      <c r="I150" s="197"/>
      <c r="J150" s="1"/>
      <c r="K150" s="190"/>
      <c r="L150" s="190"/>
      <c r="M150" s="190"/>
      <c r="N150" s="190"/>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273"/>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row>
    <row r="151" spans="1:172" ht="14.25" customHeight="1">
      <c r="A151" s="1"/>
      <c r="B151" s="1"/>
      <c r="C151" s="190"/>
      <c r="D151" s="190"/>
      <c r="E151" s="190"/>
      <c r="F151" s="190"/>
      <c r="G151" s="190"/>
      <c r="H151" s="1"/>
      <c r="I151" s="197"/>
      <c r="J151" s="1"/>
      <c r="K151" s="190"/>
      <c r="L151" s="190"/>
      <c r="M151" s="190"/>
      <c r="N151" s="190"/>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273"/>
      <c r="EI151" s="50" t="s">
        <v>148</v>
      </c>
      <c r="EJ151" s="50" t="s">
        <v>182</v>
      </c>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row>
    <row r="152" spans="1:172" ht="14.25" customHeight="1">
      <c r="A152" s="1"/>
      <c r="B152" s="1"/>
      <c r="C152" s="190"/>
      <c r="D152" s="190"/>
      <c r="E152" s="190"/>
      <c r="F152" s="190"/>
      <c r="G152" s="190"/>
      <c r="H152" s="1"/>
      <c r="I152" s="197"/>
      <c r="J152" s="1"/>
      <c r="K152" s="190"/>
      <c r="L152" s="190"/>
      <c r="M152" s="190"/>
      <c r="N152" s="190"/>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273"/>
      <c r="EI152" s="32" t="s">
        <v>419</v>
      </c>
      <c r="EJ152"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row>
    <row r="153" spans="1:172" ht="14.25" customHeight="1">
      <c r="A153" s="1"/>
      <c r="B153" s="1"/>
      <c r="C153" s="190"/>
      <c r="D153" s="190"/>
      <c r="E153" s="190"/>
      <c r="F153" s="190"/>
      <c r="G153" s="190"/>
      <c r="H153" s="1"/>
      <c r="I153" s="197"/>
      <c r="J153" s="1"/>
      <c r="K153" s="190"/>
      <c r="L153" s="190"/>
      <c r="M153" s="190"/>
      <c r="N153" s="190"/>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273"/>
      <c r="EI153" s="35" t="s">
        <v>429</v>
      </c>
      <c r="EJ153" s="25" t="s">
        <v>1071</v>
      </c>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row>
    <row r="154" spans="1:172" ht="14.25" customHeight="1">
      <c r="A154" s="1"/>
      <c r="B154" s="1"/>
      <c r="C154" s="190"/>
      <c r="D154" s="190"/>
      <c r="E154" s="190"/>
      <c r="F154" s="190"/>
      <c r="G154" s="190"/>
      <c r="H154" s="1"/>
      <c r="I154" s="197"/>
      <c r="J154" s="1"/>
      <c r="K154" s="190"/>
      <c r="L154" s="190"/>
      <c r="M154" s="190"/>
      <c r="N154" s="190"/>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273"/>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row>
    <row r="155" spans="1:172" ht="14.25" customHeight="1">
      <c r="A155" s="1"/>
      <c r="B155" s="1"/>
      <c r="C155" s="190"/>
      <c r="D155" s="190"/>
      <c r="E155" s="190"/>
      <c r="F155" s="190"/>
      <c r="G155" s="190"/>
      <c r="H155" s="1"/>
      <c r="I155" s="197"/>
      <c r="J155" s="1"/>
      <c r="K155" s="190"/>
      <c r="L155" s="190"/>
      <c r="M155" s="190"/>
      <c r="N155" s="190"/>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273"/>
      <c r="EI155" s="50" t="s">
        <v>421</v>
      </c>
      <c r="EJ155" s="50" t="s">
        <v>182</v>
      </c>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row>
    <row r="156" spans="1:172" ht="14.25" customHeight="1">
      <c r="A156" s="1"/>
      <c r="B156" s="1"/>
      <c r="C156" s="190"/>
      <c r="D156" s="190"/>
      <c r="E156" s="190"/>
      <c r="F156" s="190"/>
      <c r="G156" s="190"/>
      <c r="H156" s="1"/>
      <c r="I156" s="197"/>
      <c r="J156" s="1"/>
      <c r="K156" s="190"/>
      <c r="L156" s="190"/>
      <c r="M156" s="190"/>
      <c r="N156" s="190"/>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273"/>
      <c r="EI156" s="32" t="s">
        <v>419</v>
      </c>
      <c r="EJ156"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56" s="28"/>
      <c r="EL156" s="28"/>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row>
    <row r="157" spans="1:172" ht="14.25" customHeight="1">
      <c r="A157" s="1"/>
      <c r="B157" s="1"/>
      <c r="C157" s="190"/>
      <c r="D157" s="190"/>
      <c r="E157" s="190"/>
      <c r="F157" s="190"/>
      <c r="G157" s="190"/>
      <c r="H157" s="1"/>
      <c r="I157" s="197"/>
      <c r="J157" s="1"/>
      <c r="K157" s="190"/>
      <c r="L157" s="190"/>
      <c r="M157" s="190"/>
      <c r="N157" s="190"/>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273"/>
      <c r="EI157" s="32" t="s">
        <v>420</v>
      </c>
      <c r="EJ157" s="24" t="e">
        <f>VLOOKUP($EJ$141,$EI158:$EL164,2,FALSE)</f>
        <v>#N/A</v>
      </c>
      <c r="EK157" s="24" t="e">
        <f>VLOOKUP($EJ$141,$EI158:$EL164,3,FALSE)</f>
        <v>#N/A</v>
      </c>
      <c r="EL157" s="24" t="e">
        <f>VLOOKUP($EJ$141,$EI158:$EL164,4,FALSE)</f>
        <v>#N/A</v>
      </c>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row>
    <row r="158" spans="1:172" ht="14.25" customHeight="1">
      <c r="A158" s="1"/>
      <c r="B158" s="1"/>
      <c r="C158" s="190"/>
      <c r="D158" s="190"/>
      <c r="E158" s="190"/>
      <c r="F158" s="190"/>
      <c r="G158" s="190"/>
      <c r="H158" s="1"/>
      <c r="I158" s="197"/>
      <c r="J158" s="1"/>
      <c r="K158" s="190"/>
      <c r="L158" s="190"/>
      <c r="M158" s="190"/>
      <c r="N158" s="190"/>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273"/>
      <c r="EI158" s="32">
        <v>1</v>
      </c>
      <c r="EJ158" s="25" t="e">
        <f ca="1">EJ35</f>
        <v>#N/A</v>
      </c>
      <c r="EK158" s="25" t="str">
        <f ca="1">language!A328</f>
        <v>NAMUR</v>
      </c>
      <c r="EL158" s="32" t="str">
        <f ca="1">language!$A$334</f>
        <v>нормально открытый</v>
      </c>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row>
    <row r="159" spans="1:172" ht="14.25" customHeight="1">
      <c r="A159" s="1"/>
      <c r="B159" s="1"/>
      <c r="C159" s="190"/>
      <c r="D159" s="190"/>
      <c r="E159" s="190"/>
      <c r="F159" s="190"/>
      <c r="G159" s="190"/>
      <c r="H159" s="1"/>
      <c r="I159" s="197"/>
      <c r="J159" s="1"/>
      <c r="K159" s="190"/>
      <c r="L159" s="190"/>
      <c r="M159" s="190"/>
      <c r="N159" s="190"/>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273"/>
      <c r="EI159" s="32">
        <v>2</v>
      </c>
      <c r="EJ159" s="25" t="e">
        <f ca="1">EJ35</f>
        <v>#N/A</v>
      </c>
      <c r="EK159" s="25" t="str">
        <f ca="1">language!A328</f>
        <v>NAMUR</v>
      </c>
      <c r="EL159" s="32" t="str">
        <f ca="1">language!$A$334</f>
        <v>нормально открытый</v>
      </c>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row>
    <row r="160" spans="1:172" ht="14.25" customHeight="1">
      <c r="A160" s="1"/>
      <c r="B160" s="1"/>
      <c r="C160" s="190"/>
      <c r="D160" s="190"/>
      <c r="E160" s="190"/>
      <c r="F160" s="190"/>
      <c r="G160" s="190"/>
      <c r="H160" s="1"/>
      <c r="I160" s="197"/>
      <c r="J160" s="1"/>
      <c r="K160" s="190"/>
      <c r="L160" s="190"/>
      <c r="M160" s="190"/>
      <c r="N160" s="190"/>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273"/>
      <c r="EI160" s="32">
        <v>3</v>
      </c>
      <c r="EJ160" s="25" t="str">
        <f ca="1">language!$A$349</f>
        <v>Объём (р.у.)</v>
      </c>
      <c r="EK160" s="25" t="str">
        <f ca="1">language!A328</f>
        <v>NAMUR</v>
      </c>
      <c r="EL160" s="32" t="str">
        <f ca="1">language!$A$334</f>
        <v>нормально открытый</v>
      </c>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row>
    <row r="161" spans="1:172" ht="14.25" customHeight="1">
      <c r="A161" s="1"/>
      <c r="B161" s="1"/>
      <c r="C161" s="190"/>
      <c r="D161" s="190"/>
      <c r="E161" s="190"/>
      <c r="F161" s="190"/>
      <c r="G161" s="190"/>
      <c r="H161" s="1"/>
      <c r="I161" s="197"/>
      <c r="J161" s="1"/>
      <c r="K161" s="190"/>
      <c r="L161" s="190"/>
      <c r="M161" s="190"/>
      <c r="N161" s="190"/>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273"/>
      <c r="EI161" s="32">
        <v>4</v>
      </c>
      <c r="EJ161" s="25" t="str">
        <f ca="1">language!$A$349</f>
        <v>Объём (р.у.)</v>
      </c>
      <c r="EK161" s="25" t="str">
        <f ca="1">language!A328</f>
        <v>NAMUR</v>
      </c>
      <c r="EL161" s="32" t="str">
        <f ca="1">language!$A$334</f>
        <v>нормально открытый</v>
      </c>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row>
    <row r="162" spans="1:172" ht="14.25" customHeight="1">
      <c r="A162" s="1"/>
      <c r="B162" s="1"/>
      <c r="C162" s="190"/>
      <c r="D162" s="190"/>
      <c r="E162" s="190"/>
      <c r="F162" s="190"/>
      <c r="G162" s="190"/>
      <c r="H162" s="1"/>
      <c r="I162" s="197"/>
      <c r="J162" s="1"/>
      <c r="K162" s="190"/>
      <c r="L162" s="190"/>
      <c r="M162" s="190"/>
      <c r="N162" s="190"/>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273"/>
      <c r="EI162" s="32">
        <v>5</v>
      </c>
      <c r="EJ162" s="25" t="str">
        <f ca="1">language!$A$353</f>
        <v>Статус Сбой</v>
      </c>
      <c r="EK162" s="25" t="str">
        <f ca="1">language!A328</f>
        <v>NAMUR</v>
      </c>
      <c r="EL162" s="32" t="str">
        <f ca="1">language!$A$334</f>
        <v>нормально открытый</v>
      </c>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row>
    <row r="163" spans="1:172" ht="14.25" customHeight="1">
      <c r="A163" s="1"/>
      <c r="B163" s="1"/>
      <c r="C163" s="190"/>
      <c r="D163" s="190"/>
      <c r="E163" s="190"/>
      <c r="F163" s="190"/>
      <c r="G163" s="190"/>
      <c r="H163" s="1"/>
      <c r="I163" s="197"/>
      <c r="J163" s="1"/>
      <c r="K163" s="190"/>
      <c r="L163" s="190"/>
      <c r="M163" s="190"/>
      <c r="N163" s="190"/>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273"/>
      <c r="EI163" s="32">
        <v>6</v>
      </c>
      <c r="EJ163" s="25" t="str">
        <f ca="1">language!$A$351</f>
        <v>Объём (с.у.)</v>
      </c>
      <c r="EK163" s="25" t="str">
        <f ca="1">language!A328</f>
        <v>NAMUR</v>
      </c>
      <c r="EL163" s="32" t="str">
        <f ca="1">language!$A$334</f>
        <v>нормально открытый</v>
      </c>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row>
    <row r="164" spans="1:172" ht="14.25" customHeight="1">
      <c r="A164" s="1"/>
      <c r="B164" s="1"/>
      <c r="C164" s="190"/>
      <c r="D164" s="190"/>
      <c r="E164" s="190"/>
      <c r="F164" s="190"/>
      <c r="G164" s="190"/>
      <c r="H164" s="1"/>
      <c r="I164" s="197"/>
      <c r="J164" s="1"/>
      <c r="K164" s="190"/>
      <c r="L164" s="190"/>
      <c r="M164" s="190"/>
      <c r="N164" s="190"/>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273"/>
      <c r="EI164" s="32">
        <v>7</v>
      </c>
      <c r="EJ164" s="25" t="str">
        <f ca="1">language!$A$349</f>
        <v>Объём (р.у.)</v>
      </c>
      <c r="EK164" s="25" t="str">
        <f ca="1">language!A328</f>
        <v>NAMUR</v>
      </c>
      <c r="EL164" s="32" t="str">
        <f ca="1">language!$A$334</f>
        <v>нормально открытый</v>
      </c>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row>
    <row r="165" spans="1:172" ht="14.25" customHeight="1">
      <c r="A165" s="1"/>
      <c r="B165" s="1"/>
      <c r="C165" s="190"/>
      <c r="D165" s="190"/>
      <c r="E165" s="190"/>
      <c r="F165" s="190"/>
      <c r="G165" s="190"/>
      <c r="H165" s="1"/>
      <c r="I165" s="197"/>
      <c r="J165" s="1"/>
      <c r="K165" s="190"/>
      <c r="L165" s="190"/>
      <c r="M165" s="190"/>
      <c r="N165" s="190"/>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273"/>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row>
    <row r="166" spans="1:172" ht="14.25" customHeight="1">
      <c r="A166" s="1"/>
      <c r="B166" s="1"/>
      <c r="C166" s="190"/>
      <c r="D166" s="190"/>
      <c r="E166" s="190"/>
      <c r="F166" s="190"/>
      <c r="G166" s="190"/>
      <c r="H166" s="1"/>
      <c r="I166" s="197"/>
      <c r="J166" s="1"/>
      <c r="K166" s="190"/>
      <c r="L166" s="190"/>
      <c r="M166" s="190"/>
      <c r="N166" s="190"/>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273"/>
      <c r="EI166" s="50" t="s">
        <v>424</v>
      </c>
      <c r="EJ166" s="50" t="s">
        <v>182</v>
      </c>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row>
    <row r="167" spans="1:172" ht="14.25" customHeight="1">
      <c r="A167" s="1"/>
      <c r="B167" s="1"/>
      <c r="C167" s="190"/>
      <c r="D167" s="190"/>
      <c r="E167" s="190"/>
      <c r="F167" s="190"/>
      <c r="G167" s="190"/>
      <c r="H167" s="1"/>
      <c r="I167" s="197"/>
      <c r="J167" s="1"/>
      <c r="K167" s="190"/>
      <c r="L167" s="190"/>
      <c r="M167" s="190"/>
      <c r="N167" s="190"/>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273"/>
      <c r="EI167" s="32" t="s">
        <v>419</v>
      </c>
      <c r="EJ167"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67" s="28"/>
      <c r="EL167" s="28"/>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row>
    <row r="168" spans="1:172" ht="14.25" customHeight="1">
      <c r="A168" s="1"/>
      <c r="B168" s="1"/>
      <c r="C168" s="190"/>
      <c r="D168" s="190"/>
      <c r="E168" s="190"/>
      <c r="F168" s="190"/>
      <c r="G168" s="190"/>
      <c r="H168" s="1"/>
      <c r="I168" s="197"/>
      <c r="J168" s="1"/>
      <c r="K168" s="190"/>
      <c r="L168" s="190"/>
      <c r="M168" s="190"/>
      <c r="N168" s="190"/>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273"/>
      <c r="EI168" s="32" t="s">
        <v>420</v>
      </c>
      <c r="EJ168" s="24" t="e">
        <f>VLOOKUP($EJ$141,$EI169:$EL175,2,FALSE)</f>
        <v>#N/A</v>
      </c>
      <c r="EK168" s="24" t="e">
        <f>VLOOKUP($EJ$141,$EI169:$EL175,3,FALSE)</f>
        <v>#N/A</v>
      </c>
      <c r="EL168" s="24" t="e">
        <f>VLOOKUP($EJ$141,$EI168:$EL175,4,FALSE)</f>
        <v>#N/A</v>
      </c>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row>
    <row r="169" spans="1:172" ht="14.25" customHeight="1">
      <c r="A169" s="1"/>
      <c r="B169" s="1"/>
      <c r="C169" s="190"/>
      <c r="D169" s="190"/>
      <c r="E169" s="190"/>
      <c r="F169" s="190"/>
      <c r="G169" s="190"/>
      <c r="H169" s="1"/>
      <c r="I169" s="197"/>
      <c r="J169" s="1"/>
      <c r="K169" s="190"/>
      <c r="L169" s="190"/>
      <c r="M169" s="190"/>
      <c r="N169" s="190"/>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273"/>
      <c r="EI169" s="32">
        <v>1</v>
      </c>
      <c r="EJ169" s="25" t="str">
        <f ca="1">language!$A$354</f>
        <v>Статус Необх. тех. обслуживания</v>
      </c>
      <c r="EK169" s="25" t="str">
        <f ca="1">language!A328</f>
        <v>NAMUR</v>
      </c>
      <c r="EL169" s="32" t="str">
        <f ca="1">language!$A$334</f>
        <v>нормально открытый</v>
      </c>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row>
    <row r="170" spans="1:172" ht="14.25" customHeight="1">
      <c r="A170" s="1"/>
      <c r="B170" s="1"/>
      <c r="C170" s="190"/>
      <c r="D170" s="190"/>
      <c r="E170" s="190"/>
      <c r="F170" s="190"/>
      <c r="G170" s="190"/>
      <c r="H170" s="1"/>
      <c r="I170" s="197"/>
      <c r="J170" s="1"/>
      <c r="K170" s="190"/>
      <c r="L170" s="190"/>
      <c r="M170" s="190"/>
      <c r="N170" s="190"/>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273"/>
      <c r="EI170" s="32">
        <v>2</v>
      </c>
      <c r="EJ170" s="25" t="str">
        <f ca="1">language!$A$354</f>
        <v>Статус Необх. тех. обслуживания</v>
      </c>
      <c r="EK170" s="25" t="str">
        <f ca="1">language!A328</f>
        <v>NAMUR</v>
      </c>
      <c r="EL170" s="32" t="s">
        <v>132</v>
      </c>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row>
    <row r="171" spans="1:172" ht="14.25" customHeight="1">
      <c r="A171" s="1"/>
      <c r="B171" s="1"/>
      <c r="C171" s="190"/>
      <c r="D171" s="190"/>
      <c r="E171" s="190"/>
      <c r="F171" s="190"/>
      <c r="G171" s="190"/>
      <c r="H171" s="1"/>
      <c r="I171" s="197"/>
      <c r="J171" s="1"/>
      <c r="K171" s="190"/>
      <c r="L171" s="190"/>
      <c r="M171" s="190"/>
      <c r="N171" s="190"/>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273"/>
      <c r="EI171" s="32">
        <v>3</v>
      </c>
      <c r="EJ171" s="25" t="str">
        <f ca="1">language!$A$354</f>
        <v>Статус Необх. тех. обслуживания</v>
      </c>
      <c r="EK171" s="25" t="str">
        <f ca="1">language!A328</f>
        <v>NAMUR</v>
      </c>
      <c r="EL171" s="32" t="str">
        <f ca="1">language!$A$334</f>
        <v>нормально открытый</v>
      </c>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row>
    <row r="172" spans="1:172" ht="14.25" customHeight="1">
      <c r="A172" s="1"/>
      <c r="B172" s="1"/>
      <c r="C172" s="190"/>
      <c r="D172" s="190"/>
      <c r="E172" s="190"/>
      <c r="F172" s="190"/>
      <c r="G172" s="190"/>
      <c r="H172" s="1"/>
      <c r="I172" s="197"/>
      <c r="J172" s="1"/>
      <c r="K172" s="190"/>
      <c r="L172" s="190"/>
      <c r="M172" s="190"/>
      <c r="N172" s="190"/>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273"/>
      <c r="EI172" s="32">
        <v>4</v>
      </c>
      <c r="EJ172" s="25" t="str">
        <f ca="1">language!$A$354</f>
        <v>Статус Необх. тех. обслуживания</v>
      </c>
      <c r="EK172" s="25" t="str">
        <f ca="1">language!A328</f>
        <v>NAMUR</v>
      </c>
      <c r="EL172" s="32" t="str">
        <f ca="1">language!$A$334</f>
        <v>нормально открытый</v>
      </c>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row>
    <row r="173" spans="1:172" ht="14.25" customHeight="1">
      <c r="A173" s="1"/>
      <c r="B173" s="1"/>
      <c r="C173" s="190"/>
      <c r="D173" s="190"/>
      <c r="E173" s="190"/>
      <c r="F173" s="190"/>
      <c r="G173" s="190"/>
      <c r="H173" s="1"/>
      <c r="I173" s="197"/>
      <c r="J173" s="1"/>
      <c r="K173" s="190"/>
      <c r="L173" s="190"/>
      <c r="M173" s="190"/>
      <c r="N173" s="190"/>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273"/>
      <c r="EI173" s="32">
        <v>5</v>
      </c>
      <c r="EJ173" s="25" t="str">
        <f ca="1">language!$A$354</f>
        <v>Статус Необх. тех. обслуживания</v>
      </c>
      <c r="EK173" s="25" t="str">
        <f ca="1">language!A328</f>
        <v>NAMUR</v>
      </c>
      <c r="EL173" s="32" t="str">
        <f ca="1">language!$A$334</f>
        <v>нормально открытый</v>
      </c>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row>
    <row r="174" spans="1:172" ht="14.25" customHeight="1">
      <c r="A174" s="1"/>
      <c r="B174" s="1"/>
      <c r="C174" s="190"/>
      <c r="D174" s="190"/>
      <c r="E174" s="190"/>
      <c r="F174" s="190"/>
      <c r="G174" s="190"/>
      <c r="H174" s="1"/>
      <c r="I174" s="197"/>
      <c r="J174" s="1"/>
      <c r="K174" s="190"/>
      <c r="L174" s="190"/>
      <c r="M174" s="190"/>
      <c r="N174" s="190"/>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273"/>
      <c r="EI174" s="32">
        <v>6</v>
      </c>
      <c r="EJ174" s="25" t="str">
        <f ca="1">language!$A$354</f>
        <v>Статус Необх. тех. обслуживания</v>
      </c>
      <c r="EK174" s="25" t="str">
        <f ca="1">language!A328</f>
        <v>NAMUR</v>
      </c>
      <c r="EL174" s="32" t="str">
        <f ca="1">language!$A$334</f>
        <v>нормально открытый</v>
      </c>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row>
    <row r="175" spans="1:172" ht="14.25" customHeight="1">
      <c r="A175" s="1"/>
      <c r="B175" s="1"/>
      <c r="C175" s="190"/>
      <c r="D175" s="190"/>
      <c r="E175" s="190"/>
      <c r="F175" s="190"/>
      <c r="G175" s="190"/>
      <c r="H175" s="1"/>
      <c r="I175" s="197"/>
      <c r="J175" s="1"/>
      <c r="K175" s="190"/>
      <c r="L175" s="190"/>
      <c r="M175" s="190"/>
      <c r="N175" s="190"/>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273"/>
      <c r="EI175" s="32">
        <v>7</v>
      </c>
      <c r="EJ175" s="25" t="str">
        <f ca="1">language!$A$354</f>
        <v>Статус Необх. тех. обслуживания</v>
      </c>
      <c r="EK175" s="25" t="str">
        <f ca="1">language!A328</f>
        <v>NAMUR</v>
      </c>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row>
    <row r="176" spans="1:172" ht="14.25" customHeight="1">
      <c r="A176" s="1"/>
      <c r="B176" s="1"/>
      <c r="C176" s="190"/>
      <c r="D176" s="190"/>
      <c r="E176" s="190"/>
      <c r="F176" s="190"/>
      <c r="G176" s="190"/>
      <c r="H176" s="1"/>
      <c r="I176" s="197"/>
      <c r="J176" s="1"/>
      <c r="K176" s="190"/>
      <c r="L176" s="190"/>
      <c r="M176" s="190"/>
      <c r="N176" s="190"/>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273"/>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row>
    <row r="177" spans="1:172" ht="14.25" customHeight="1">
      <c r="A177" s="1"/>
      <c r="B177" s="1"/>
      <c r="C177" s="190"/>
      <c r="D177" s="190"/>
      <c r="E177" s="190"/>
      <c r="F177" s="190"/>
      <c r="G177" s="190"/>
      <c r="H177" s="1"/>
      <c r="I177" s="197"/>
      <c r="J177" s="1"/>
      <c r="K177" s="190"/>
      <c r="L177" s="190"/>
      <c r="M177" s="190"/>
      <c r="N177" s="190"/>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273"/>
      <c r="EI177" s="50" t="s">
        <v>425</v>
      </c>
      <c r="EJ177" s="50" t="s">
        <v>182</v>
      </c>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row>
    <row r="178" spans="1:172" ht="14.25" customHeight="1">
      <c r="A178" s="1"/>
      <c r="B178" s="1"/>
      <c r="C178" s="190"/>
      <c r="D178" s="190"/>
      <c r="E178" s="190"/>
      <c r="F178" s="190"/>
      <c r="G178" s="190"/>
      <c r="H178" s="1"/>
      <c r="I178" s="197"/>
      <c r="J178" s="1"/>
      <c r="K178" s="190"/>
      <c r="L178" s="190"/>
      <c r="M178" s="190"/>
      <c r="N178" s="190"/>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273"/>
      <c r="EI178" s="32" t="s">
        <v>419</v>
      </c>
      <c r="EJ178" s="28" t="str">
        <f>Data!$CX$3</f>
        <v>№1 
- 2x импульсных/цифровых выхода
- 1x аналоговый вход 4-20мА + HART v7 Master (подключение датчиков давления, температуры)
- 1x цифровой выход RS-485 Slave, Modbus RTU и Modbus ASCII</v>
      </c>
      <c r="EK178" s="28"/>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row>
    <row r="179" spans="1:172" ht="14.25" customHeight="1">
      <c r="A179" s="1"/>
      <c r="B179" s="1"/>
      <c r="C179" s="190"/>
      <c r="D179" s="190"/>
      <c r="E179" s="190"/>
      <c r="F179" s="190"/>
      <c r="G179" s="190"/>
      <c r="H179" s="1"/>
      <c r="I179" s="197"/>
      <c r="J179" s="1"/>
      <c r="K179" s="190"/>
      <c r="L179" s="190"/>
      <c r="M179" s="190"/>
      <c r="N179" s="190"/>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273"/>
      <c r="EI179" s="32" t="s">
        <v>420</v>
      </c>
      <c r="EJ179" s="24" t="e">
        <f>VLOOKUP($EJ$141,$EI180:$EK186,2,FALSE)</f>
        <v>#N/A</v>
      </c>
      <c r="EK179" s="24" t="e">
        <f>VLOOKUP($EJ$141,$EI180:$EK186,3,FALSE)</f>
        <v>#N/A</v>
      </c>
      <c r="EL179" s="32" t="s">
        <v>132</v>
      </c>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row>
    <row r="180" spans="1:172" ht="14.25" customHeight="1">
      <c r="A180" s="1"/>
      <c r="B180" s="1"/>
      <c r="C180" s="190"/>
      <c r="D180" s="190"/>
      <c r="E180" s="190"/>
      <c r="F180" s="190"/>
      <c r="G180" s="190"/>
      <c r="H180" s="1"/>
      <c r="I180" s="197"/>
      <c r="J180" s="1"/>
      <c r="K180" s="190"/>
      <c r="L180" s="190"/>
      <c r="M180" s="190"/>
      <c r="N180" s="190"/>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273"/>
      <c r="EI180" s="32">
        <v>1</v>
      </c>
      <c r="EJ180" s="25" t="str">
        <f ca="1">language!$A$355</f>
        <v>Статус Направление расхода</v>
      </c>
      <c r="EK180" s="25" t="str">
        <f ca="1">language!A328</f>
        <v>NAMUR</v>
      </c>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row>
    <row r="181" spans="1:172" ht="14.25" customHeight="1">
      <c r="A181" s="1"/>
      <c r="B181" s="1"/>
      <c r="C181" s="190"/>
      <c r="D181" s="190"/>
      <c r="E181" s="190"/>
      <c r="F181" s="190"/>
      <c r="G181" s="190"/>
      <c r="H181" s="1"/>
      <c r="I181" s="197"/>
      <c r="J181" s="1"/>
      <c r="K181" s="190"/>
      <c r="L181" s="190"/>
      <c r="M181" s="190"/>
      <c r="N181" s="190"/>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273"/>
      <c r="EI181" s="32">
        <v>2</v>
      </c>
      <c r="EJ181" s="25" t="s">
        <v>1071</v>
      </c>
      <c r="EK181" s="32" t="s">
        <v>132</v>
      </c>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row>
    <row r="182" spans="1:172" ht="14.25" customHeight="1">
      <c r="A182" s="1"/>
      <c r="B182" s="1"/>
      <c r="C182" s="190"/>
      <c r="D182" s="190"/>
      <c r="E182" s="190"/>
      <c r="F182" s="190"/>
      <c r="G182" s="190"/>
      <c r="H182" s="1"/>
      <c r="I182" s="197"/>
      <c r="J182" s="1"/>
      <c r="K182" s="190"/>
      <c r="L182" s="190"/>
      <c r="M182" s="190"/>
      <c r="N182" s="190"/>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273"/>
      <c r="EI182" s="32">
        <v>3</v>
      </c>
      <c r="EJ182" s="25" t="str">
        <f ca="1">language!$A$355</f>
        <v>Статус Направление расхода</v>
      </c>
      <c r="EK182" s="25" t="str">
        <f ca="1">language!A328</f>
        <v>NAMUR</v>
      </c>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row>
    <row r="183" spans="1:172" ht="14.25" customHeight="1">
      <c r="A183" s="1"/>
      <c r="B183" s="1"/>
      <c r="C183" s="190"/>
      <c r="D183" s="190"/>
      <c r="E183" s="190"/>
      <c r="F183" s="190"/>
      <c r="G183" s="190"/>
      <c r="H183" s="1"/>
      <c r="I183" s="197"/>
      <c r="J183" s="1"/>
      <c r="K183" s="190"/>
      <c r="L183" s="190"/>
      <c r="M183" s="190"/>
      <c r="N183" s="190"/>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273"/>
      <c r="EI183" s="32">
        <v>4</v>
      </c>
      <c r="EJ183" s="25" t="str">
        <f ca="1">language!$A$355</f>
        <v>Статус Направление расхода</v>
      </c>
      <c r="EK183" s="25" t="str">
        <f ca="1">language!A328</f>
        <v>NAMUR</v>
      </c>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row>
    <row r="184" spans="1:172" ht="14.25" customHeight="1">
      <c r="A184" s="1"/>
      <c r="B184" s="1"/>
      <c r="C184" s="190"/>
      <c r="D184" s="190"/>
      <c r="E184" s="190"/>
      <c r="F184" s="190"/>
      <c r="G184" s="190"/>
      <c r="H184" s="1"/>
      <c r="I184" s="197"/>
      <c r="J184" s="1"/>
      <c r="K184" s="190"/>
      <c r="L184" s="190"/>
      <c r="M184" s="190"/>
      <c r="N184" s="190"/>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273"/>
      <c r="EI184" s="32">
        <v>5</v>
      </c>
      <c r="EJ184" s="25" t="str">
        <f ca="1">language!$A$355</f>
        <v>Статус Направление расхода</v>
      </c>
      <c r="EK184" s="25" t="str">
        <f ca="1">language!A328</f>
        <v>NAMUR</v>
      </c>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row>
    <row r="185" spans="1:172" ht="14.25" customHeight="1">
      <c r="A185" s="1"/>
      <c r="B185" s="1"/>
      <c r="C185" s="190"/>
      <c r="D185" s="190"/>
      <c r="E185" s="190"/>
      <c r="F185" s="190"/>
      <c r="G185" s="190"/>
      <c r="H185" s="1"/>
      <c r="I185" s="197"/>
      <c r="J185" s="1"/>
      <c r="K185" s="190"/>
      <c r="L185" s="190"/>
      <c r="M185" s="190"/>
      <c r="N185" s="190"/>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273"/>
      <c r="EI185" s="32">
        <v>6</v>
      </c>
      <c r="EJ185" s="25" t="str">
        <f ca="1">language!$A$355</f>
        <v>Статус Направление расхода</v>
      </c>
      <c r="EK185" s="25" t="str">
        <f ca="1">language!A328</f>
        <v>NAMUR</v>
      </c>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row>
    <row r="186" spans="1:172" ht="14.25" customHeight="1">
      <c r="A186" s="1"/>
      <c r="B186" s="1"/>
      <c r="C186" s="190"/>
      <c r="D186" s="190"/>
      <c r="E186" s="190"/>
      <c r="F186" s="190"/>
      <c r="G186" s="190"/>
      <c r="H186" s="1"/>
      <c r="I186" s="197"/>
      <c r="J186" s="1"/>
      <c r="K186" s="190"/>
      <c r="L186" s="190"/>
      <c r="M186" s="190"/>
      <c r="N186" s="190"/>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273"/>
      <c r="EI186" s="32">
        <v>7</v>
      </c>
      <c r="EJ186" s="25" t="s">
        <v>1071</v>
      </c>
      <c r="EK186" s="32" t="s">
        <v>132</v>
      </c>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row>
    <row r="187" spans="1:172" ht="14.25" customHeight="1">
      <c r="A187" s="1"/>
      <c r="B187" s="1"/>
      <c r="C187" s="190"/>
      <c r="D187" s="190"/>
      <c r="E187" s="190"/>
      <c r="F187" s="190"/>
      <c r="G187" s="190"/>
      <c r="H187" s="1"/>
      <c r="I187" s="197"/>
      <c r="J187" s="1"/>
      <c r="K187" s="190"/>
      <c r="L187" s="190"/>
      <c r="M187" s="190"/>
      <c r="N187" s="190"/>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row>
    <row r="188" spans="1:172" ht="14.25" customHeight="1">
      <c r="A188" s="1"/>
      <c r="B188" s="1"/>
      <c r="C188" s="190"/>
      <c r="D188" s="190"/>
      <c r="E188" s="190"/>
      <c r="F188" s="190"/>
      <c r="G188" s="190"/>
      <c r="H188" s="1"/>
      <c r="I188" s="197"/>
      <c r="J188" s="1"/>
      <c r="K188" s="190"/>
      <c r="L188" s="190"/>
      <c r="M188" s="190"/>
      <c r="N188" s="190"/>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row>
    <row r="189" spans="1:172" ht="14.25" customHeight="1">
      <c r="A189" s="1"/>
      <c r="B189" s="1"/>
      <c r="C189" s="190"/>
      <c r="D189" s="190"/>
      <c r="E189" s="190"/>
      <c r="F189" s="190"/>
      <c r="G189" s="190"/>
      <c r="H189" s="1"/>
      <c r="I189" s="197"/>
      <c r="J189" s="1"/>
      <c r="K189" s="190"/>
      <c r="L189" s="190"/>
      <c r="M189" s="190"/>
      <c r="N189" s="190"/>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row>
    <row r="190" spans="1:172" ht="14.25" customHeight="1">
      <c r="A190" s="1"/>
      <c r="B190" s="1"/>
      <c r="C190" s="190"/>
      <c r="D190" s="190"/>
      <c r="E190" s="190"/>
      <c r="F190" s="190"/>
      <c r="G190" s="190"/>
      <c r="H190" s="1"/>
      <c r="I190" s="197"/>
      <c r="J190" s="1"/>
      <c r="K190" s="190"/>
      <c r="L190" s="190"/>
      <c r="M190" s="190"/>
      <c r="N190" s="190"/>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row>
    <row r="191" spans="1:172" ht="14.25" customHeight="1">
      <c r="A191" s="1"/>
      <c r="B191" s="1"/>
      <c r="C191" s="190"/>
      <c r="D191" s="190"/>
      <c r="E191" s="190"/>
      <c r="F191" s="190"/>
      <c r="G191" s="190"/>
      <c r="H191" s="1"/>
      <c r="I191" s="197"/>
      <c r="J191" s="1"/>
      <c r="K191" s="190"/>
      <c r="L191" s="190"/>
      <c r="M191" s="190"/>
      <c r="N191" s="190"/>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row>
    <row r="192" spans="1:172" ht="14.25" customHeight="1">
      <c r="A192" s="1"/>
      <c r="B192" s="1"/>
      <c r="C192" s="190"/>
      <c r="D192" s="190"/>
      <c r="E192" s="190"/>
      <c r="F192" s="190"/>
      <c r="G192" s="190"/>
      <c r="H192" s="1"/>
      <c r="I192" s="197"/>
      <c r="J192" s="1"/>
      <c r="K192" s="190"/>
      <c r="L192" s="190"/>
      <c r="M192" s="190"/>
      <c r="N192" s="190"/>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row>
    <row r="193" spans="1:172" ht="14.25" customHeight="1">
      <c r="A193" s="1"/>
      <c r="B193" s="1"/>
      <c r="C193" s="190"/>
      <c r="D193" s="190"/>
      <c r="E193" s="190"/>
      <c r="F193" s="190"/>
      <c r="G193" s="190"/>
      <c r="H193" s="1"/>
      <c r="I193" s="197"/>
      <c r="J193" s="1"/>
      <c r="K193" s="190"/>
      <c r="L193" s="190"/>
      <c r="M193" s="190"/>
      <c r="N193" s="190"/>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row>
    <row r="194" spans="1:172" ht="14.25" customHeight="1">
      <c r="A194" s="1"/>
      <c r="B194" s="1"/>
      <c r="C194" s="190"/>
      <c r="D194" s="190"/>
      <c r="E194" s="190"/>
      <c r="F194" s="190"/>
      <c r="G194" s="190"/>
      <c r="H194" s="1"/>
      <c r="I194" s="197"/>
      <c r="J194" s="1"/>
      <c r="K194" s="190"/>
      <c r="L194" s="190"/>
      <c r="M194" s="190"/>
      <c r="N194" s="190"/>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row>
    <row r="195" spans="1:172" ht="14.25" customHeight="1">
      <c r="EH195" s="1"/>
    </row>
    <row r="196" spans="1:172" ht="14.25" customHeight="1">
      <c r="EH196" s="1"/>
    </row>
    <row r="197" spans="1:172" ht="14.25" customHeight="1">
      <c r="EH197" s="1"/>
    </row>
    <row r="198" spans="1:172" ht="14.25" customHeight="1">
      <c r="EH198" s="1"/>
    </row>
    <row r="199" spans="1:172" ht="14.25" customHeight="1">
      <c r="EH199" s="1"/>
    </row>
    <row r="200" spans="1:172" ht="14.25" customHeight="1">
      <c r="EH200" s="1"/>
    </row>
  </sheetData>
  <mergeCells count="22">
    <mergeCell ref="K1:L1"/>
    <mergeCell ref="M1:N1"/>
    <mergeCell ref="EP7:EP10"/>
    <mergeCell ref="EP11:EP14"/>
    <mergeCell ref="EP15:EP20"/>
    <mergeCell ref="EP21:EP26"/>
    <mergeCell ref="EP76:EP78"/>
    <mergeCell ref="EP79:EP81"/>
    <mergeCell ref="EP58:EP61"/>
    <mergeCell ref="EP62:EP65"/>
    <mergeCell ref="EP27:EP31"/>
    <mergeCell ref="EP70:EP72"/>
    <mergeCell ref="EP73:EP75"/>
    <mergeCell ref="EP40:EP43"/>
    <mergeCell ref="EP54:EP57"/>
    <mergeCell ref="EP47:EP50"/>
    <mergeCell ref="EP51:EP53"/>
    <mergeCell ref="EP82:EP84"/>
    <mergeCell ref="EP32:EP35"/>
    <mergeCell ref="EP36:EP39"/>
    <mergeCell ref="EP66:EP69"/>
    <mergeCell ref="EP44:EP46"/>
  </mergeCells>
  <phoneticPr fontId="23" type="noConversion"/>
  <dataValidations disablePrompts="1" count="1">
    <dataValidation allowBlank="1" sqref="EA18"/>
  </dataValidations>
  <printOptions gridLines="1"/>
  <pageMargins left="0.78740157480314965" right="0.78740157480314965" top="0.98425196850393704" bottom="0.98425196850393704" header="0.51181102362204722" footer="0.51181102362204722"/>
  <pageSetup paperSize="9" scale="47" orientation="portrait" horizontalDpi="1200" verticalDpi="200" r:id="rId1"/>
  <headerFooter alignWithMargins="0"/>
  <cellWatches>
    <cellWatch r="J28"/>
  </cellWatche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529"/>
  <sheetViews>
    <sheetView topLeftCell="A271" zoomScaleNormal="100" workbookViewId="0">
      <selection activeCell="A297" sqref="A297"/>
    </sheetView>
  </sheetViews>
  <sheetFormatPr defaultColWidth="11.42578125" defaultRowHeight="12.75"/>
  <cols>
    <col min="1" max="1" width="34.140625" style="1" customWidth="1"/>
    <col min="2" max="2" width="43" style="66" customWidth="1"/>
    <col min="3" max="3" width="38.85546875" style="66" customWidth="1"/>
    <col min="4" max="4" width="41.85546875" style="76" customWidth="1"/>
    <col min="5" max="5" width="11.42578125" style="66"/>
    <col min="7" max="16384" width="11.42578125" style="66"/>
  </cols>
  <sheetData>
    <row r="1" spans="1:6">
      <c r="B1" s="73" t="s">
        <v>1274</v>
      </c>
      <c r="C1" s="73" t="s">
        <v>1275</v>
      </c>
      <c r="D1" s="74" t="s">
        <v>1239</v>
      </c>
      <c r="E1" s="368" t="s">
        <v>1241</v>
      </c>
    </row>
    <row r="2" spans="1:6">
      <c r="A2" s="1" t="str">
        <f t="shared" ref="A2:A65" ca="1" si="0">HLOOKUP(langchoose,LangMatrix,ROW(),0)</f>
        <v xml:space="preserve"> </v>
      </c>
      <c r="B2" s="66" t="s">
        <v>665</v>
      </c>
      <c r="C2" s="66" t="s">
        <v>665</v>
      </c>
      <c r="D2" s="292" t="s">
        <v>132</v>
      </c>
      <c r="E2" s="305" t="str">
        <f>D2</f>
        <v xml:space="preserve"> </v>
      </c>
    </row>
    <row r="3" spans="1:6">
      <c r="A3" s="1" t="str">
        <f t="shared" ca="1" si="0"/>
        <v>Метрические</v>
      </c>
      <c r="B3" s="66" t="s">
        <v>469</v>
      </c>
      <c r="C3" s="66" t="s">
        <v>186</v>
      </c>
      <c r="D3" s="292" t="s">
        <v>525</v>
      </c>
      <c r="E3" s="305" t="str">
        <f t="shared" ref="E3:E66" si="1">D3</f>
        <v>Метрические</v>
      </c>
    </row>
    <row r="4" spans="1:6">
      <c r="A4" s="1" t="str">
        <f t="shared" ca="1" si="0"/>
        <v>Опросный лист</v>
      </c>
      <c r="B4" s="66" t="s">
        <v>113</v>
      </c>
      <c r="C4" s="66" t="s">
        <v>113</v>
      </c>
      <c r="D4" s="292" t="s">
        <v>526</v>
      </c>
      <c r="E4" s="305" t="str">
        <f t="shared" si="1"/>
        <v>Опросный лист</v>
      </c>
    </row>
    <row r="5" spans="1:6">
      <c r="A5" s="1" t="str">
        <f t="shared" ca="1" si="0"/>
        <v>Счетчик газа ультразвуковой</v>
      </c>
      <c r="B5" s="66" t="s">
        <v>1272</v>
      </c>
      <c r="C5" s="66" t="s">
        <v>1272</v>
      </c>
      <c r="D5" s="293" t="s">
        <v>1313</v>
      </c>
      <c r="E5" s="305" t="str">
        <f t="shared" si="1"/>
        <v>Счетчик газа ультразвуковой</v>
      </c>
    </row>
    <row r="6" spans="1:6">
      <c r="A6" s="1" t="str">
        <f t="shared" ca="1" si="0"/>
        <v>Требует заполнения</v>
      </c>
      <c r="B6" s="66" t="s">
        <v>448</v>
      </c>
      <c r="C6" s="66" t="s">
        <v>448</v>
      </c>
      <c r="D6" s="293" t="s">
        <v>888</v>
      </c>
      <c r="E6" s="305" t="str">
        <f t="shared" si="1"/>
        <v>Требует заполнения</v>
      </c>
    </row>
    <row r="7" spans="1:6">
      <c r="A7" s="1" t="str">
        <f t="shared" ca="1" si="0"/>
        <v>По запросу</v>
      </c>
      <c r="B7" s="66" t="s">
        <v>434</v>
      </c>
      <c r="C7" s="66" t="s">
        <v>434</v>
      </c>
      <c r="D7" s="293" t="s">
        <v>889</v>
      </c>
      <c r="E7" s="305" t="str">
        <f t="shared" si="1"/>
        <v>По запросу</v>
      </c>
    </row>
    <row r="8" spans="1:6">
      <c r="A8" s="1" t="str">
        <f t="shared" ca="1" si="0"/>
        <v>Да</v>
      </c>
      <c r="B8" s="66" t="s">
        <v>135</v>
      </c>
      <c r="C8" s="66" t="s">
        <v>135</v>
      </c>
      <c r="D8" s="292" t="s">
        <v>527</v>
      </c>
      <c r="E8" s="305" t="str">
        <f t="shared" si="1"/>
        <v>Да</v>
      </c>
    </row>
    <row r="9" spans="1:6">
      <c r="A9" s="1" t="str">
        <f t="shared" ca="1" si="0"/>
        <v>Нет</v>
      </c>
      <c r="B9" s="66" t="s">
        <v>111</v>
      </c>
      <c r="C9" s="66" t="s">
        <v>111</v>
      </c>
      <c r="D9" s="292" t="s">
        <v>528</v>
      </c>
      <c r="E9" s="305" t="str">
        <f t="shared" si="1"/>
        <v>Нет</v>
      </c>
    </row>
    <row r="10" spans="1:6">
      <c r="A10" s="1" t="str">
        <f t="shared" ca="1" si="0"/>
        <v>ООО "НПП КуйбышевТелеком-Метрология"</v>
      </c>
      <c r="B10" s="66" t="s">
        <v>1321</v>
      </c>
      <c r="C10" s="66" t="s">
        <v>1321</v>
      </c>
      <c r="D10" s="292" t="s">
        <v>1322</v>
      </c>
      <c r="E10" s="292" t="s">
        <v>1322</v>
      </c>
      <c r="F10" s="292"/>
    </row>
    <row r="11" spans="1:6">
      <c r="A11" s="1" t="str">
        <f t="shared" ca="1" si="0"/>
        <v>443052, РФ, г.о. Самара, ул. Земеца 26Б, оф 413</v>
      </c>
      <c r="B11" s="292" t="s">
        <v>1323</v>
      </c>
      <c r="C11" s="292" t="s">
        <v>1323</v>
      </c>
      <c r="D11" s="292" t="s">
        <v>1324</v>
      </c>
      <c r="E11" s="305" t="str">
        <f t="shared" si="1"/>
        <v>443052, РФ, г.о. Самара, ул. Земеца 26Б, оф 413</v>
      </c>
    </row>
    <row r="12" spans="1:6">
      <c r="A12" s="1" t="str">
        <f t="shared" ca="1" si="0"/>
        <v>Телефон: 8(846)202-00-65 |Факс: 8(846)206-01-80 | E-mail: info@ktkprom.com</v>
      </c>
      <c r="B12" s="341" t="s">
        <v>1325</v>
      </c>
      <c r="C12" s="341" t="s">
        <v>1325</v>
      </c>
      <c r="D12" s="341" t="s">
        <v>1326</v>
      </c>
      <c r="E12" s="305" t="str">
        <f t="shared" si="1"/>
        <v>Телефон: 8(846)202-00-65 |Факс: 8(846)206-01-80 | E-mail: info@ktkprom.com</v>
      </c>
    </row>
    <row r="13" spans="1:6">
      <c r="A13" s="1" t="str">
        <f t="shared" ca="1" si="0"/>
        <v>Цвет заливки</v>
      </c>
      <c r="B13" s="66" t="s">
        <v>701</v>
      </c>
      <c r="C13" s="66" t="s">
        <v>701</v>
      </c>
      <c r="D13" s="292" t="s">
        <v>773</v>
      </c>
      <c r="E13" s="305" t="str">
        <f t="shared" si="1"/>
        <v>Цвет заливки</v>
      </c>
    </row>
    <row r="14" spans="1:6">
      <c r="A14" s="1" t="str">
        <f t="shared" ca="1" si="0"/>
        <v>Отобразить</v>
      </c>
      <c r="B14" s="66" t="s">
        <v>446</v>
      </c>
      <c r="C14" s="66" t="s">
        <v>446</v>
      </c>
      <c r="D14" s="292" t="s">
        <v>774</v>
      </c>
      <c r="E14" s="305" t="str">
        <f t="shared" si="1"/>
        <v>Отобразить</v>
      </c>
    </row>
    <row r="15" spans="1:6">
      <c r="A15" s="1" t="str">
        <f t="shared" ca="1" si="0"/>
        <v>Скрыть</v>
      </c>
      <c r="B15" s="66" t="s">
        <v>447</v>
      </c>
      <c r="C15" s="66" t="s">
        <v>447</v>
      </c>
      <c r="D15" s="292" t="s">
        <v>775</v>
      </c>
      <c r="E15" s="305" t="str">
        <f t="shared" si="1"/>
        <v>Скрыть</v>
      </c>
    </row>
    <row r="16" spans="1:6">
      <c r="A16" s="1">
        <f t="shared" ca="1" si="0"/>
        <v>0</v>
      </c>
      <c r="D16" s="291"/>
      <c r="E16" s="305">
        <f t="shared" si="1"/>
        <v>0</v>
      </c>
    </row>
    <row r="17" spans="1:5">
      <c r="A17" s="1" t="str">
        <f t="shared" ca="1" si="0"/>
        <v>Стр.1</v>
      </c>
      <c r="B17" s="66" t="s">
        <v>444</v>
      </c>
      <c r="C17" s="66" t="s">
        <v>444</v>
      </c>
      <c r="D17" s="295" t="s">
        <v>529</v>
      </c>
      <c r="E17" s="305" t="str">
        <f t="shared" si="1"/>
        <v>Стр.1</v>
      </c>
    </row>
    <row r="18" spans="1:5">
      <c r="A18" s="1" t="str">
        <f t="shared" ca="1" si="0"/>
        <v>Заказчик</v>
      </c>
      <c r="B18" s="66" t="s">
        <v>384</v>
      </c>
      <c r="C18" s="66" t="s">
        <v>384</v>
      </c>
      <c r="D18" s="292" t="s">
        <v>530</v>
      </c>
      <c r="E18" s="305" t="str">
        <f t="shared" si="1"/>
        <v>Заказчик</v>
      </c>
    </row>
    <row r="19" spans="1:5">
      <c r="A19" s="1" t="str">
        <f t="shared" ca="1" si="0"/>
        <v>Компания</v>
      </c>
      <c r="B19" s="66" t="s">
        <v>8</v>
      </c>
      <c r="C19" s="66" t="s">
        <v>8</v>
      </c>
      <c r="D19" s="292" t="s">
        <v>531</v>
      </c>
      <c r="E19" s="305" t="str">
        <f t="shared" si="1"/>
        <v>Компания</v>
      </c>
    </row>
    <row r="20" spans="1:5">
      <c r="A20" s="1" t="str">
        <f t="shared" ca="1" si="0"/>
        <v>Адрес</v>
      </c>
      <c r="B20" s="66" t="s">
        <v>9</v>
      </c>
      <c r="C20" s="66" t="s">
        <v>9</v>
      </c>
      <c r="D20" s="292" t="s">
        <v>532</v>
      </c>
      <c r="E20" s="305" t="str">
        <f t="shared" si="1"/>
        <v>Адрес</v>
      </c>
    </row>
    <row r="21" spans="1:5">
      <c r="A21" s="1" t="str">
        <f t="shared" ca="1" si="0"/>
        <v>Контактное лицо</v>
      </c>
      <c r="B21" s="66" t="s">
        <v>10</v>
      </c>
      <c r="C21" s="66" t="s">
        <v>10</v>
      </c>
      <c r="D21" s="292" t="s">
        <v>533</v>
      </c>
      <c r="E21" s="305" t="str">
        <f t="shared" si="1"/>
        <v>Контактное лицо</v>
      </c>
    </row>
    <row r="22" spans="1:5">
      <c r="A22" s="1" t="str">
        <f t="shared" ca="1" si="0"/>
        <v>Телефон</v>
      </c>
      <c r="B22" s="66" t="s">
        <v>14</v>
      </c>
      <c r="C22" s="66" t="s">
        <v>14</v>
      </c>
      <c r="D22" s="292" t="s">
        <v>534</v>
      </c>
      <c r="E22" s="305" t="str">
        <f t="shared" si="1"/>
        <v>Телефон</v>
      </c>
    </row>
    <row r="23" spans="1:5">
      <c r="A23" s="1" t="str">
        <f t="shared" ca="1" si="0"/>
        <v>Эл. почта</v>
      </c>
      <c r="B23" s="66" t="s">
        <v>116</v>
      </c>
      <c r="C23" s="66" t="s">
        <v>116</v>
      </c>
      <c r="D23" s="292" t="s">
        <v>535</v>
      </c>
      <c r="E23" s="305" t="str">
        <f t="shared" si="1"/>
        <v>Эл. почта</v>
      </c>
    </row>
    <row r="24" spans="1:5">
      <c r="A24" s="1" t="str">
        <f t="shared" ca="1" si="0"/>
        <v>Факс</v>
      </c>
      <c r="B24" s="66" t="s">
        <v>15</v>
      </c>
      <c r="C24" s="66" t="s">
        <v>15</v>
      </c>
      <c r="D24" s="292" t="s">
        <v>536</v>
      </c>
      <c r="E24" s="305" t="str">
        <f t="shared" si="1"/>
        <v>Факс</v>
      </c>
    </row>
    <row r="25" spans="1:5">
      <c r="A25" s="1" t="str">
        <f t="shared" ca="1" si="0"/>
        <v>Дата</v>
      </c>
      <c r="B25" s="66" t="s">
        <v>13</v>
      </c>
      <c r="C25" s="66" t="s">
        <v>13</v>
      </c>
      <c r="D25" s="292" t="s">
        <v>537</v>
      </c>
      <c r="E25" s="305" t="str">
        <f t="shared" si="1"/>
        <v>Дата</v>
      </c>
    </row>
    <row r="26" spans="1:5">
      <c r="A26" s="1" t="str">
        <f t="shared" ca="1" si="0"/>
        <v>Название проекта</v>
      </c>
      <c r="B26" s="66" t="s">
        <v>11</v>
      </c>
      <c r="C26" s="66" t="s">
        <v>11</v>
      </c>
      <c r="D26" s="292" t="s">
        <v>833</v>
      </c>
      <c r="E26" s="305" t="str">
        <f t="shared" si="1"/>
        <v>Название проекта</v>
      </c>
    </row>
    <row r="27" spans="1:5">
      <c r="A27" s="1" t="str">
        <f t="shared" ca="1" si="0"/>
        <v>Конечный заказчик</v>
      </c>
      <c r="B27" s="66" t="s">
        <v>12</v>
      </c>
      <c r="C27" s="66" t="s">
        <v>12</v>
      </c>
      <c r="D27" s="292" t="s">
        <v>834</v>
      </c>
      <c r="E27" s="305" t="str">
        <f t="shared" si="1"/>
        <v>Конечный заказчик</v>
      </c>
    </row>
    <row r="28" spans="1:5">
      <c r="A28" s="1" t="str">
        <f t="shared" ca="1" si="0"/>
        <v>№ запроса</v>
      </c>
      <c r="B28" s="66" t="s">
        <v>23</v>
      </c>
      <c r="C28" s="66" t="s">
        <v>23</v>
      </c>
      <c r="D28" s="292" t="s">
        <v>835</v>
      </c>
      <c r="E28" s="305" t="str">
        <f t="shared" si="1"/>
        <v>№ запроса</v>
      </c>
    </row>
    <row r="29" spans="1:5">
      <c r="A29" s="1" t="str">
        <f t="shared" ca="1" si="0"/>
        <v>№ Опр. листа</v>
      </c>
      <c r="B29" s="66" t="s">
        <v>374</v>
      </c>
      <c r="C29" s="66" t="s">
        <v>374</v>
      </c>
      <c r="D29" s="293" t="s">
        <v>1214</v>
      </c>
      <c r="E29" s="305" t="str">
        <f t="shared" si="1"/>
        <v>№ Опр. листа</v>
      </c>
    </row>
    <row r="30" spans="1:5">
      <c r="A30" s="1" t="str">
        <f t="shared" ca="1" si="0"/>
        <v>№. проекта</v>
      </c>
      <c r="B30" s="66" t="s">
        <v>375</v>
      </c>
      <c r="C30" s="66" t="s">
        <v>375</v>
      </c>
      <c r="D30" s="293" t="s">
        <v>890</v>
      </c>
      <c r="E30" s="305" t="str">
        <f t="shared" si="1"/>
        <v>№. проекта</v>
      </c>
    </row>
    <row r="31" spans="1:5">
      <c r="A31" s="1" t="str">
        <f t="shared" ca="1" si="0"/>
        <v>№. ТКП</v>
      </c>
      <c r="B31" s="66" t="s">
        <v>376</v>
      </c>
      <c r="C31" s="66" t="s">
        <v>376</v>
      </c>
      <c r="D31" s="293" t="s">
        <v>891</v>
      </c>
      <c r="E31" s="305" t="str">
        <f t="shared" si="1"/>
        <v>№. ТКП</v>
      </c>
    </row>
    <row r="32" spans="1:5">
      <c r="A32" s="1" t="str">
        <f t="shared" ca="1" si="0"/>
        <v>№. заказа</v>
      </c>
      <c r="B32" s="66" t="s">
        <v>377</v>
      </c>
      <c r="C32" s="66" t="s">
        <v>377</v>
      </c>
      <c r="D32" s="293" t="s">
        <v>892</v>
      </c>
      <c r="E32" s="305" t="str">
        <f t="shared" si="1"/>
        <v>№. заказа</v>
      </c>
    </row>
    <row r="33" spans="1:5">
      <c r="A33" s="1">
        <f t="shared" ca="1" si="0"/>
        <v>0</v>
      </c>
      <c r="D33" s="296"/>
      <c r="E33" s="305">
        <f t="shared" si="1"/>
        <v>0</v>
      </c>
    </row>
    <row r="34" spans="1:5">
      <c r="A34" s="1" t="str">
        <f t="shared" ca="1" si="0"/>
        <v>Исход. данные</v>
      </c>
      <c r="B34" s="66" t="s">
        <v>385</v>
      </c>
      <c r="C34" s="66" t="s">
        <v>385</v>
      </c>
      <c r="D34" s="292" t="s">
        <v>538</v>
      </c>
      <c r="E34" s="305" t="str">
        <f t="shared" si="1"/>
        <v>Исход. данные</v>
      </c>
    </row>
    <row r="35" spans="1:5">
      <c r="A35" s="1" t="str">
        <f t="shared" ca="1" si="0"/>
        <v>Размер счётчика</v>
      </c>
      <c r="B35" s="66" t="s">
        <v>21</v>
      </c>
      <c r="C35" s="66" t="s">
        <v>21</v>
      </c>
      <c r="D35" s="292" t="s">
        <v>539</v>
      </c>
      <c r="E35" s="305" t="str">
        <f t="shared" si="1"/>
        <v>Размер счётчика</v>
      </c>
    </row>
    <row r="36" spans="1:5">
      <c r="A36" s="1" t="str">
        <f t="shared" ca="1" si="0"/>
        <v>Кол-во лучей</v>
      </c>
      <c r="B36" s="66" t="s">
        <v>667</v>
      </c>
      <c r="C36" s="66" t="s">
        <v>667</v>
      </c>
      <c r="D36" s="292" t="s">
        <v>540</v>
      </c>
      <c r="E36" s="305" t="str">
        <f t="shared" si="1"/>
        <v>Кол-во лучей</v>
      </c>
    </row>
    <row r="37" spans="1:5">
      <c r="A37" s="1" t="str">
        <f t="shared" ca="1" si="0"/>
        <v>G-класс</v>
      </c>
      <c r="B37" s="66" t="s">
        <v>383</v>
      </c>
      <c r="C37" s="66" t="s">
        <v>383</v>
      </c>
      <c r="D37" s="293" t="s">
        <v>893</v>
      </c>
      <c r="E37" s="305" t="str">
        <f t="shared" si="1"/>
        <v>G-класс</v>
      </c>
    </row>
    <row r="38" spans="1:5">
      <c r="A38" s="1">
        <f t="shared" ca="1" si="0"/>
        <v>0</v>
      </c>
      <c r="D38" s="296"/>
      <c r="E38" s="305">
        <f t="shared" si="1"/>
        <v>0</v>
      </c>
    </row>
    <row r="39" spans="1:5">
      <c r="A39" s="1" t="str">
        <f t="shared" ca="1" si="0"/>
        <v>Измеряемая среда</v>
      </c>
      <c r="B39" s="66" t="s">
        <v>390</v>
      </c>
      <c r="C39" s="66" t="s">
        <v>390</v>
      </c>
      <c r="D39" s="292" t="s">
        <v>541</v>
      </c>
      <c r="E39" s="305" t="str">
        <f t="shared" si="1"/>
        <v>Измеряемая среда</v>
      </c>
    </row>
    <row r="40" spans="1:5">
      <c r="A40" s="1" t="str">
        <f t="shared" ca="1" si="0"/>
        <v>Газ</v>
      </c>
      <c r="B40" s="66" t="s">
        <v>308</v>
      </c>
      <c r="C40" s="66" t="s">
        <v>308</v>
      </c>
      <c r="D40" s="292" t="s">
        <v>542</v>
      </c>
      <c r="E40" s="305" t="str">
        <f t="shared" si="1"/>
        <v>Газ</v>
      </c>
    </row>
    <row r="41" spans="1:5">
      <c r="A41" s="1" t="str">
        <f t="shared" ca="1" si="0"/>
        <v>Конденсат</v>
      </c>
      <c r="B41" s="66" t="s">
        <v>1093</v>
      </c>
      <c r="C41" s="66" t="s">
        <v>1093</v>
      </c>
      <c r="D41" s="292" t="s">
        <v>1094</v>
      </c>
      <c r="E41" s="305" t="str">
        <f t="shared" si="1"/>
        <v>Конденсат</v>
      </c>
    </row>
    <row r="42" spans="1:5">
      <c r="A42" s="1" t="str">
        <f t="shared" ca="1" si="0"/>
        <v>Содерж. жидкости</v>
      </c>
      <c r="B42" s="66" t="s">
        <v>107</v>
      </c>
      <c r="C42" s="66" t="s">
        <v>107</v>
      </c>
      <c r="D42" s="297" t="s">
        <v>894</v>
      </c>
      <c r="E42" s="305" t="str">
        <f t="shared" si="1"/>
        <v>Содерж. жидкости</v>
      </c>
    </row>
    <row r="43" spans="1:5">
      <c r="A43" s="1" t="str">
        <f t="shared" ca="1" si="0"/>
        <v>Состав газа</v>
      </c>
      <c r="B43" s="67" t="s">
        <v>120</v>
      </c>
      <c r="C43" s="67" t="s">
        <v>120</v>
      </c>
      <c r="D43" s="298" t="s">
        <v>543</v>
      </c>
      <c r="E43" s="305" t="str">
        <f t="shared" si="1"/>
        <v>Состав газа</v>
      </c>
    </row>
    <row r="44" spans="1:5">
      <c r="A44" s="1" t="str">
        <f t="shared" ca="1" si="0"/>
        <v>Агрессивность</v>
      </c>
      <c r="B44" s="67" t="s">
        <v>391</v>
      </c>
      <c r="C44" s="67" t="s">
        <v>391</v>
      </c>
      <c r="D44" s="299" t="s">
        <v>1110</v>
      </c>
      <c r="E44" s="305" t="str">
        <f t="shared" si="1"/>
        <v>Агрессивность</v>
      </c>
    </row>
    <row r="45" spans="1:5">
      <c r="A45" s="1" t="str">
        <f t="shared" ca="1" si="0"/>
        <v>Регулятор давления</v>
      </c>
      <c r="B45" s="67" t="s">
        <v>363</v>
      </c>
      <c r="C45" s="67" t="s">
        <v>363</v>
      </c>
      <c r="D45" s="292" t="s">
        <v>544</v>
      </c>
      <c r="E45" s="305" t="str">
        <f t="shared" si="1"/>
        <v>Регулятор давления</v>
      </c>
    </row>
    <row r="46" spans="1:5">
      <c r="A46" s="1" t="str">
        <f t="shared" ca="1" si="0"/>
        <v>Нет</v>
      </c>
      <c r="B46" s="67" t="s">
        <v>111</v>
      </c>
      <c r="C46" s="67" t="s">
        <v>111</v>
      </c>
      <c r="D46" s="292" t="s">
        <v>528</v>
      </c>
      <c r="E46" s="305" t="str">
        <f t="shared" si="1"/>
        <v>Нет</v>
      </c>
    </row>
    <row r="47" spans="1:5">
      <c r="A47" s="1" t="str">
        <f t="shared" ca="1" si="0"/>
        <v>да - внизу по потоку</v>
      </c>
      <c r="B47" s="67" t="s">
        <v>435</v>
      </c>
      <c r="C47" s="67" t="s">
        <v>435</v>
      </c>
      <c r="D47" s="292" t="s">
        <v>545</v>
      </c>
      <c r="E47" s="305" t="str">
        <f t="shared" si="1"/>
        <v>да - внизу по потоку</v>
      </c>
    </row>
    <row r="48" spans="1:5">
      <c r="A48" s="1" t="str">
        <f t="shared" ca="1" si="0"/>
        <v>да - вверху против потока</v>
      </c>
      <c r="B48" s="67" t="s">
        <v>436</v>
      </c>
      <c r="C48" s="67" t="s">
        <v>436</v>
      </c>
      <c r="D48" s="292" t="s">
        <v>546</v>
      </c>
      <c r="E48" s="305" t="str">
        <f t="shared" si="1"/>
        <v>да - вверху против потока</v>
      </c>
    </row>
    <row r="49" spans="1:5">
      <c r="A49" s="1" t="str">
        <f t="shared" ca="1" si="0"/>
        <v>Расст. до счётчика</v>
      </c>
      <c r="B49" s="67" t="s">
        <v>386</v>
      </c>
      <c r="C49" s="67" t="s">
        <v>386</v>
      </c>
      <c r="D49" s="293" t="s">
        <v>895</v>
      </c>
      <c r="E49" s="305" t="str">
        <f t="shared" si="1"/>
        <v>Расст. до счётчика</v>
      </c>
    </row>
    <row r="50" spans="1:5">
      <c r="A50" s="1" t="str">
        <f t="shared" ca="1" si="0"/>
        <v>Мак. перепад давления</v>
      </c>
      <c r="B50" s="67" t="s">
        <v>364</v>
      </c>
      <c r="C50" s="67" t="s">
        <v>364</v>
      </c>
      <c r="D50" s="292" t="s">
        <v>547</v>
      </c>
      <c r="E50" s="305" t="str">
        <f t="shared" si="1"/>
        <v>Мак. перепад давления</v>
      </c>
    </row>
    <row r="51" spans="1:5">
      <c r="A51" s="1" t="str">
        <f t="shared" ca="1" si="0"/>
        <v>Примечание: Сумма &gt; 100% недопустима</v>
      </c>
      <c r="B51" s="262" t="s">
        <v>1080</v>
      </c>
      <c r="C51" s="262" t="s">
        <v>1080</v>
      </c>
      <c r="D51" s="294" t="s">
        <v>1111</v>
      </c>
      <c r="E51" s="305" t="str">
        <f t="shared" si="1"/>
        <v>Примечание: Сумма &gt; 100% недопустима</v>
      </c>
    </row>
    <row r="52" spans="1:5">
      <c r="A52" s="1">
        <f t="shared" ca="1" si="0"/>
        <v>0</v>
      </c>
      <c r="D52" s="296"/>
      <c r="E52" s="305">
        <f t="shared" si="1"/>
        <v>0</v>
      </c>
    </row>
    <row r="53" spans="1:5">
      <c r="A53" s="1" t="str">
        <f t="shared" ca="1" si="0"/>
        <v>Параметры процесса</v>
      </c>
      <c r="B53" s="67" t="s">
        <v>387</v>
      </c>
      <c r="C53" s="67" t="s">
        <v>387</v>
      </c>
      <c r="D53" s="75" t="s">
        <v>836</v>
      </c>
      <c r="E53" s="305" t="str">
        <f t="shared" si="1"/>
        <v>Параметры процесса</v>
      </c>
    </row>
    <row r="54" spans="1:5">
      <c r="A54" s="1" t="str">
        <f t="shared" ca="1" si="0"/>
        <v>Мин.</v>
      </c>
      <c r="B54" s="67" t="s">
        <v>17</v>
      </c>
      <c r="C54" s="67" t="s">
        <v>17</v>
      </c>
      <c r="D54" s="75" t="s">
        <v>548</v>
      </c>
      <c r="E54" s="305" t="str">
        <f t="shared" si="1"/>
        <v>Мин.</v>
      </c>
    </row>
    <row r="55" spans="1:5">
      <c r="A55" s="1" t="str">
        <f t="shared" ca="1" si="0"/>
        <v>Макс.</v>
      </c>
      <c r="B55" s="67" t="s">
        <v>19</v>
      </c>
      <c r="C55" s="67" t="s">
        <v>19</v>
      </c>
      <c r="D55" s="75" t="s">
        <v>632</v>
      </c>
      <c r="E55" s="305" t="str">
        <f t="shared" si="1"/>
        <v>Макс.</v>
      </c>
    </row>
    <row r="56" spans="1:5">
      <c r="A56" s="1" t="str">
        <f t="shared" ca="1" si="0"/>
        <v>Норма</v>
      </c>
      <c r="B56" s="67" t="s">
        <v>18</v>
      </c>
      <c r="C56" s="67" t="s">
        <v>18</v>
      </c>
      <c r="D56" s="75" t="s">
        <v>549</v>
      </c>
      <c r="E56" s="305" t="str">
        <f t="shared" si="1"/>
        <v>Норма</v>
      </c>
    </row>
    <row r="57" spans="1:5">
      <c r="A57" s="1" t="str">
        <f t="shared" ca="1" si="0"/>
        <v>Объемный расход (р.у.)</v>
      </c>
      <c r="B57" s="67" t="s">
        <v>121</v>
      </c>
      <c r="C57" s="67" t="s">
        <v>121</v>
      </c>
      <c r="D57" s="176" t="s">
        <v>855</v>
      </c>
      <c r="E57" s="305" t="str">
        <f t="shared" si="1"/>
        <v>Объемный расход (р.у.)</v>
      </c>
    </row>
    <row r="58" spans="1:5">
      <c r="A58" s="1" t="str">
        <f t="shared" ca="1" si="0"/>
        <v xml:space="preserve">Объемный расход (с.у.) </v>
      </c>
      <c r="B58" s="67" t="s">
        <v>122</v>
      </c>
      <c r="C58" s="67" t="s">
        <v>122</v>
      </c>
      <c r="D58" s="176" t="s">
        <v>896</v>
      </c>
      <c r="E58" s="305" t="str">
        <f t="shared" si="1"/>
        <v xml:space="preserve">Объемный расход (с.у.) </v>
      </c>
    </row>
    <row r="59" spans="1:5">
      <c r="A59" s="1" t="str">
        <f t="shared" ca="1" si="0"/>
        <v>Скорость газа</v>
      </c>
      <c r="B59" s="67" t="s">
        <v>27</v>
      </c>
      <c r="C59" s="67" t="s">
        <v>27</v>
      </c>
      <c r="D59" s="75" t="s">
        <v>513</v>
      </c>
      <c r="E59" s="305" t="str">
        <f t="shared" si="1"/>
        <v>Скорость газа</v>
      </c>
    </row>
    <row r="60" spans="1:5">
      <c r="A60" s="1" t="str">
        <f t="shared" ca="1" si="0"/>
        <v>Температура газа</v>
      </c>
      <c r="B60" s="67" t="s">
        <v>309</v>
      </c>
      <c r="C60" s="67" t="s">
        <v>309</v>
      </c>
      <c r="D60" s="75" t="s">
        <v>550</v>
      </c>
      <c r="E60" s="305" t="str">
        <f t="shared" si="1"/>
        <v>Температура газа</v>
      </c>
    </row>
    <row r="61" spans="1:5">
      <c r="A61" s="1" t="str">
        <f t="shared" ca="1" si="0"/>
        <v>Рабочее давление (избыт.)</v>
      </c>
      <c r="B61" s="67" t="s">
        <v>29</v>
      </c>
      <c r="C61" s="67" t="s">
        <v>29</v>
      </c>
      <c r="D61" s="176" t="s">
        <v>897</v>
      </c>
      <c r="E61" s="305" t="str">
        <f t="shared" si="1"/>
        <v>Рабочее давление (избыт.)</v>
      </c>
    </row>
    <row r="62" spans="1:5">
      <c r="A62" s="1" t="str">
        <f t="shared" ca="1" si="0"/>
        <v>Массовый расход</v>
      </c>
      <c r="B62" s="67" t="s">
        <v>25</v>
      </c>
      <c r="C62" s="67" t="s">
        <v>25</v>
      </c>
      <c r="D62" s="75" t="s">
        <v>551</v>
      </c>
      <c r="E62" s="305" t="str">
        <f t="shared" si="1"/>
        <v>Массовый расход</v>
      </c>
    </row>
    <row r="63" spans="1:5">
      <c r="A63" s="1" t="str">
        <f t="shared" ca="1" si="0"/>
        <v>Коэффициент сжимаемости</v>
      </c>
      <c r="B63" s="67" t="s">
        <v>39</v>
      </c>
      <c r="C63" s="67" t="s">
        <v>39</v>
      </c>
      <c r="D63" s="75" t="s">
        <v>552</v>
      </c>
      <c r="E63" s="305" t="str">
        <f t="shared" si="1"/>
        <v>Коэффициент сжимаемости</v>
      </c>
    </row>
    <row r="64" spans="1:5">
      <c r="A64" s="1" t="str">
        <f t="shared" ca="1" si="0"/>
        <v>Плотность (р.у.)</v>
      </c>
      <c r="B64" s="67" t="s">
        <v>133</v>
      </c>
      <c r="C64" s="67" t="s">
        <v>42</v>
      </c>
      <c r="D64" s="75" t="s">
        <v>1224</v>
      </c>
      <c r="E64" s="305" t="str">
        <f t="shared" si="1"/>
        <v>Плотность (р.у.)</v>
      </c>
    </row>
    <row r="65" spans="1:5">
      <c r="A65" s="1" t="str">
        <f t="shared" ca="1" si="0"/>
        <v>Молярная масса</v>
      </c>
      <c r="B65" s="67" t="s">
        <v>31</v>
      </c>
      <c r="C65" s="67" t="s">
        <v>31</v>
      </c>
      <c r="D65" s="176" t="s">
        <v>898</v>
      </c>
      <c r="E65" s="305" t="str">
        <f t="shared" si="1"/>
        <v>Молярная масса</v>
      </c>
    </row>
    <row r="66" spans="1:5">
      <c r="A66" s="1">
        <f t="shared" ref="A66:A129" ca="1" si="2">HLOOKUP(langchoose,LangMatrix,ROW(),0)</f>
        <v>0</v>
      </c>
      <c r="E66" s="305">
        <f t="shared" si="1"/>
        <v>0</v>
      </c>
    </row>
    <row r="67" spans="1:5">
      <c r="A67" s="1" t="str">
        <f t="shared" ca="1" si="2"/>
        <v>Внешние условия</v>
      </c>
      <c r="B67" s="67" t="s">
        <v>392</v>
      </c>
      <c r="C67" s="67" t="s">
        <v>392</v>
      </c>
      <c r="D67" s="75" t="s">
        <v>553</v>
      </c>
      <c r="E67" s="305" t="str">
        <f t="shared" ref="E67:E130" si="3">D67</f>
        <v>Внешние условия</v>
      </c>
    </row>
    <row r="68" spans="1:5">
      <c r="A68" s="1" t="str">
        <f t="shared" ca="1" si="2"/>
        <v>Коррозионные</v>
      </c>
      <c r="B68" s="67" t="s">
        <v>1069</v>
      </c>
      <c r="C68" s="67" t="s">
        <v>1069</v>
      </c>
      <c r="D68" s="294" t="s">
        <v>1112</v>
      </c>
      <c r="E68" s="305" t="str">
        <f t="shared" si="3"/>
        <v>Коррозионные</v>
      </c>
    </row>
    <row r="69" spans="1:5">
      <c r="A69" s="1" t="str">
        <f t="shared" ca="1" si="2"/>
        <v>Окруж. температура</v>
      </c>
      <c r="B69" s="67" t="s">
        <v>437</v>
      </c>
      <c r="C69" s="67" t="s">
        <v>437</v>
      </c>
      <c r="D69" s="293" t="s">
        <v>899</v>
      </c>
      <c r="E69" s="305" t="str">
        <f t="shared" si="3"/>
        <v>Окруж. температура</v>
      </c>
    </row>
    <row r="70" spans="1:5">
      <c r="A70" s="1">
        <f t="shared" ca="1" si="2"/>
        <v>0</v>
      </c>
      <c r="B70" s="67"/>
      <c r="C70" s="67"/>
      <c r="D70" s="296"/>
      <c r="E70" s="305">
        <f t="shared" si="3"/>
        <v>0</v>
      </c>
    </row>
    <row r="71" spans="1:5">
      <c r="A71" s="1">
        <f t="shared" ca="1" si="2"/>
        <v>0</v>
      </c>
      <c r="D71" s="296"/>
      <c r="E71" s="305">
        <f t="shared" si="3"/>
        <v>0</v>
      </c>
    </row>
    <row r="72" spans="1:5">
      <c r="A72" s="1" t="str">
        <f t="shared" ca="1" si="2"/>
        <v>1 луч (только для Ду ≤ 250)</v>
      </c>
      <c r="B72" s="66" t="s">
        <v>313</v>
      </c>
      <c r="C72" s="66" t="s">
        <v>313</v>
      </c>
      <c r="D72" s="292" t="s">
        <v>1243</v>
      </c>
      <c r="E72" s="305" t="str">
        <f t="shared" si="3"/>
        <v>1 луч (только для Ду ≤ 250)</v>
      </c>
    </row>
    <row r="73" spans="1:5">
      <c r="A73" s="1" t="str">
        <f t="shared" ca="1" si="2"/>
        <v>2 луча</v>
      </c>
      <c r="B73" s="66" t="s">
        <v>119</v>
      </c>
      <c r="C73" s="66" t="s">
        <v>119</v>
      </c>
      <c r="D73" s="292" t="s">
        <v>554</v>
      </c>
      <c r="E73" s="305" t="str">
        <f t="shared" si="3"/>
        <v>2 луча</v>
      </c>
    </row>
    <row r="74" spans="1:5">
      <c r="A74" s="1" t="str">
        <f t="shared" ca="1" si="2"/>
        <v>4 луча</v>
      </c>
      <c r="B74" s="66" t="s">
        <v>320</v>
      </c>
      <c r="C74" s="66" t="s">
        <v>320</v>
      </c>
      <c r="D74" s="292" t="s">
        <v>555</v>
      </c>
      <c r="E74" s="305" t="str">
        <f t="shared" si="3"/>
        <v>4 луча</v>
      </c>
    </row>
    <row r="75" spans="1:5">
      <c r="A75" s="1">
        <f t="shared" ca="1" si="2"/>
        <v>0</v>
      </c>
      <c r="D75" s="296"/>
      <c r="E75" s="305">
        <f t="shared" si="3"/>
        <v>0</v>
      </c>
    </row>
    <row r="76" spans="1:5">
      <c r="A76" s="1">
        <f t="shared" ca="1" si="2"/>
        <v>0</v>
      </c>
      <c r="D76" s="296"/>
      <c r="E76" s="305">
        <f t="shared" si="3"/>
        <v>0</v>
      </c>
    </row>
    <row r="77" spans="1:5">
      <c r="A77" s="1" t="str">
        <f t="shared" ca="1" si="2"/>
        <v>Воздух</v>
      </c>
      <c r="B77" s="66" t="s">
        <v>381</v>
      </c>
      <c r="C77" s="66" t="s">
        <v>381</v>
      </c>
      <c r="D77" s="292" t="s">
        <v>558</v>
      </c>
      <c r="E77" s="305" t="str">
        <f t="shared" si="3"/>
        <v>Воздух</v>
      </c>
    </row>
    <row r="78" spans="1:5">
      <c r="A78" s="1" t="str">
        <f t="shared" ca="1" si="2"/>
        <v>Био газ (сухой)</v>
      </c>
      <c r="B78" t="s">
        <v>957</v>
      </c>
      <c r="C78" t="s">
        <v>957</v>
      </c>
      <c r="D78" s="294" t="s">
        <v>1113</v>
      </c>
      <c r="E78" s="305" t="str">
        <f t="shared" si="3"/>
        <v>Био газ (сухой)</v>
      </c>
    </row>
    <row r="79" spans="1:5">
      <c r="A79" s="1" t="str">
        <f t="shared" ca="1" si="2"/>
        <v>Био газ (влажный)</v>
      </c>
      <c r="B79" t="s">
        <v>958</v>
      </c>
      <c r="C79" t="s">
        <v>958</v>
      </c>
      <c r="D79" s="294" t="s">
        <v>1114</v>
      </c>
      <c r="E79" s="305" t="str">
        <f t="shared" si="3"/>
        <v>Био газ (влажный)</v>
      </c>
    </row>
    <row r="80" spans="1:5">
      <c r="A80" s="1" t="str">
        <f t="shared" ca="1" si="2"/>
        <v>CO2</v>
      </c>
      <c r="B80" s="1" t="s">
        <v>1081</v>
      </c>
      <c r="C80" s="1" t="s">
        <v>1081</v>
      </c>
      <c r="D80" s="294" t="s">
        <v>1081</v>
      </c>
      <c r="E80" s="305" t="str">
        <f t="shared" si="3"/>
        <v>CO2</v>
      </c>
    </row>
    <row r="81" spans="1:5">
      <c r="A81" s="1" t="str">
        <f t="shared" ca="1" si="2"/>
        <v>Этилен</v>
      </c>
      <c r="B81" s="1" t="s">
        <v>959</v>
      </c>
      <c r="C81" s="1" t="s">
        <v>959</v>
      </c>
      <c r="D81" s="294" t="s">
        <v>1115</v>
      </c>
      <c r="E81" s="305" t="str">
        <f t="shared" si="3"/>
        <v>Этилен</v>
      </c>
    </row>
    <row r="82" spans="1:5">
      <c r="A82" s="1" t="str">
        <f t="shared" ca="1" si="2"/>
        <v>Факельный газ</v>
      </c>
      <c r="B82" s="66" t="s">
        <v>46</v>
      </c>
      <c r="C82" s="66" t="s">
        <v>46</v>
      </c>
      <c r="D82" s="292" t="s">
        <v>557</v>
      </c>
      <c r="E82" s="305" t="str">
        <f t="shared" si="3"/>
        <v>Факельный газ</v>
      </c>
    </row>
    <row r="83" spans="1:5">
      <c r="A83" s="1" t="str">
        <f t="shared" ca="1" si="2"/>
        <v>H2</v>
      </c>
      <c r="B83" s="1" t="s">
        <v>1082</v>
      </c>
      <c r="C83" s="1" t="s">
        <v>1082</v>
      </c>
      <c r="D83" s="294" t="s">
        <v>1082</v>
      </c>
      <c r="E83" s="305" t="str">
        <f t="shared" si="3"/>
        <v>H2</v>
      </c>
    </row>
    <row r="84" spans="1:5">
      <c r="A84" s="1" t="str">
        <f t="shared" ca="1" si="2"/>
        <v>Горячий пар</v>
      </c>
      <c r="B84" s="72" t="s">
        <v>1051</v>
      </c>
      <c r="C84" s="72" t="s">
        <v>1051</v>
      </c>
      <c r="D84" s="294" t="s">
        <v>1116</v>
      </c>
      <c r="E84" s="305" t="str">
        <f t="shared" si="3"/>
        <v>Горячий пар</v>
      </c>
    </row>
    <row r="85" spans="1:5">
      <c r="A85" s="1" t="str">
        <f t="shared" ca="1" si="2"/>
        <v>N2</v>
      </c>
      <c r="B85" s="1" t="s">
        <v>1083</v>
      </c>
      <c r="C85" s="1" t="s">
        <v>1083</v>
      </c>
      <c r="D85" s="294" t="s">
        <v>1083</v>
      </c>
      <c r="E85" s="305" t="str">
        <f t="shared" si="3"/>
        <v>N2</v>
      </c>
    </row>
    <row r="86" spans="1:5">
      <c r="A86" s="1" t="str">
        <f t="shared" ca="1" si="2"/>
        <v>Природный газ</v>
      </c>
      <c r="B86" s="66" t="s">
        <v>44</v>
      </c>
      <c r="C86" s="66" t="s">
        <v>44</v>
      </c>
      <c r="D86" s="292" t="s">
        <v>556</v>
      </c>
      <c r="E86" s="305" t="str">
        <f t="shared" si="3"/>
        <v>Природный газ</v>
      </c>
    </row>
    <row r="87" spans="1:5">
      <c r="A87" s="1" t="str">
        <f t="shared" ca="1" si="2"/>
        <v>O2</v>
      </c>
      <c r="B87" s="1" t="s">
        <v>1084</v>
      </c>
      <c r="C87" s="1" t="s">
        <v>1084</v>
      </c>
      <c r="D87" s="294" t="s">
        <v>1084</v>
      </c>
      <c r="E87" s="305" t="str">
        <f t="shared" si="3"/>
        <v>O2</v>
      </c>
    </row>
    <row r="88" spans="1:5">
      <c r="A88" s="1" t="str">
        <f t="shared" ca="1" si="2"/>
        <v>Технический газ</v>
      </c>
      <c r="B88" s="66" t="s">
        <v>45</v>
      </c>
      <c r="C88" s="66" t="s">
        <v>45</v>
      </c>
      <c r="D88" s="292" t="s">
        <v>1117</v>
      </c>
      <c r="E88" s="305" t="str">
        <f t="shared" si="3"/>
        <v>Технический газ</v>
      </c>
    </row>
    <row r="89" spans="1:5">
      <c r="A89" s="1" t="str">
        <f t="shared" ca="1" si="2"/>
        <v>ПНГ (сухой)</v>
      </c>
      <c r="B89" s="323" t="s">
        <v>1201</v>
      </c>
      <c r="C89" s="323" t="s">
        <v>1201</v>
      </c>
      <c r="D89" s="300" t="s">
        <v>1118</v>
      </c>
      <c r="E89" s="305" t="str">
        <f t="shared" si="3"/>
        <v>ПНГ (сухой)</v>
      </c>
    </row>
    <row r="90" spans="1:5">
      <c r="A90" s="1" t="str">
        <f t="shared" ca="1" si="2"/>
        <v>ПНГ (влажный)</v>
      </c>
      <c r="B90" s="300" t="s">
        <v>1202</v>
      </c>
      <c r="C90" s="300" t="s">
        <v>1202</v>
      </c>
      <c r="D90" s="301" t="s">
        <v>1119</v>
      </c>
      <c r="E90" s="305" t="str">
        <f t="shared" si="3"/>
        <v>ПНГ (влажный)</v>
      </c>
    </row>
    <row r="91" spans="1:5">
      <c r="A91" s="1">
        <f t="shared" ca="1" si="2"/>
        <v>0</v>
      </c>
      <c r="D91" s="296"/>
      <c r="E91" s="305">
        <f t="shared" si="3"/>
        <v>0</v>
      </c>
    </row>
    <row r="92" spans="1:5">
      <c r="A92" s="1">
        <f t="shared" ca="1" si="2"/>
        <v>0</v>
      </c>
      <c r="D92" s="296"/>
      <c r="E92" s="305">
        <f t="shared" si="3"/>
        <v>0</v>
      </c>
    </row>
    <row r="93" spans="1:5">
      <c r="A93" s="1" t="str">
        <f t="shared" ca="1" si="2"/>
        <v>Нет</v>
      </c>
      <c r="B93" s="66" t="s">
        <v>111</v>
      </c>
      <c r="C93" s="66" t="s">
        <v>111</v>
      </c>
      <c r="D93" s="292" t="s">
        <v>528</v>
      </c>
      <c r="E93" s="305" t="str">
        <f t="shared" si="3"/>
        <v>Нет</v>
      </c>
    </row>
    <row r="94" spans="1:5">
      <c r="A94" s="1" t="str">
        <f t="shared" ca="1" si="2"/>
        <v>да</v>
      </c>
      <c r="B94" s="66" t="s">
        <v>135</v>
      </c>
      <c r="C94" s="66" t="s">
        <v>135</v>
      </c>
      <c r="D94" s="292" t="s">
        <v>560</v>
      </c>
      <c r="E94" s="305" t="str">
        <f t="shared" si="3"/>
        <v>да</v>
      </c>
    </row>
    <row r="95" spans="1:5">
      <c r="A95" s="1">
        <f t="shared" ca="1" si="2"/>
        <v>0</v>
      </c>
      <c r="D95" s="296"/>
      <c r="E95" s="305">
        <f t="shared" si="3"/>
        <v>0</v>
      </c>
    </row>
    <row r="96" spans="1:5">
      <c r="A96" s="1" t="str">
        <f t="shared" ca="1" si="2"/>
        <v>Абразивный</v>
      </c>
      <c r="B96" s="66" t="s">
        <v>109</v>
      </c>
      <c r="C96" s="66" t="s">
        <v>109</v>
      </c>
      <c r="D96" s="292" t="s">
        <v>561</v>
      </c>
      <c r="E96" s="305" t="str">
        <f t="shared" si="3"/>
        <v>Абразивный</v>
      </c>
    </row>
    <row r="97" spans="1:5">
      <c r="A97" s="1" t="str">
        <f t="shared" ca="1" si="2"/>
        <v>Коррозионный</v>
      </c>
      <c r="B97" s="66" t="s">
        <v>438</v>
      </c>
      <c r="C97" s="66" t="s">
        <v>438</v>
      </c>
      <c r="D97" s="292" t="s">
        <v>562</v>
      </c>
      <c r="E97" s="305" t="str">
        <f t="shared" si="3"/>
        <v>Коррозионный</v>
      </c>
    </row>
    <row r="98" spans="1:5">
      <c r="A98" s="1" t="str">
        <f t="shared" ca="1" si="2"/>
        <v>нет</v>
      </c>
      <c r="B98" s="66" t="s">
        <v>111</v>
      </c>
      <c r="C98" s="66" t="s">
        <v>111</v>
      </c>
      <c r="D98" s="292" t="s">
        <v>559</v>
      </c>
      <c r="E98" s="305" t="str">
        <f t="shared" si="3"/>
        <v>нет</v>
      </c>
    </row>
    <row r="99" spans="1:5">
      <c r="A99" s="1">
        <f t="shared" ca="1" si="2"/>
        <v>0</v>
      </c>
      <c r="D99" s="292"/>
      <c r="E99" s="305">
        <f t="shared" si="3"/>
        <v>0</v>
      </c>
    </row>
    <row r="100" spans="1:5">
      <c r="A100" s="1" t="str">
        <f t="shared" ca="1" si="2"/>
        <v>Метан (CH4)</v>
      </c>
      <c r="B100" s="176" t="s">
        <v>960</v>
      </c>
      <c r="C100" s="176" t="s">
        <v>960</v>
      </c>
      <c r="D100" s="293" t="s">
        <v>900</v>
      </c>
      <c r="E100" s="305" t="str">
        <f t="shared" si="3"/>
        <v>Метан (CH4)</v>
      </c>
    </row>
    <row r="101" spans="1:5">
      <c r="A101" s="1" t="str">
        <f t="shared" ca="1" si="2"/>
        <v>Азот (N2)</v>
      </c>
      <c r="B101" s="176" t="s">
        <v>961</v>
      </c>
      <c r="C101" s="176" t="s">
        <v>961</v>
      </c>
      <c r="D101" s="293" t="s">
        <v>903</v>
      </c>
      <c r="E101" s="305" t="str">
        <f t="shared" si="3"/>
        <v>Азот (N2)</v>
      </c>
    </row>
    <row r="102" spans="1:5">
      <c r="A102" s="1" t="str">
        <f t="shared" ca="1" si="2"/>
        <v>Углек. газ (CO2)</v>
      </c>
      <c r="B102" s="176" t="s">
        <v>962</v>
      </c>
      <c r="C102" s="176" t="s">
        <v>962</v>
      </c>
      <c r="D102" s="293" t="s">
        <v>905</v>
      </c>
      <c r="E102" s="305" t="str">
        <f t="shared" si="3"/>
        <v>Углек. газ (CO2)</v>
      </c>
    </row>
    <row r="103" spans="1:5">
      <c r="A103" s="1" t="str">
        <f t="shared" ca="1" si="2"/>
        <v>Этан (С2Н4)</v>
      </c>
      <c r="B103" s="176" t="s">
        <v>963</v>
      </c>
      <c r="C103" s="176" t="s">
        <v>963</v>
      </c>
      <c r="D103" s="293" t="s">
        <v>901</v>
      </c>
      <c r="E103" s="305" t="str">
        <f t="shared" si="3"/>
        <v>Этан (С2Н4)</v>
      </c>
    </row>
    <row r="104" spans="1:5">
      <c r="A104" s="1" t="str">
        <f t="shared" ca="1" si="2"/>
        <v>Пропан (С3Н8)</v>
      </c>
      <c r="B104" s="176" t="s">
        <v>964</v>
      </c>
      <c r="C104" s="176" t="s">
        <v>964</v>
      </c>
      <c r="D104" s="293" t="s">
        <v>902</v>
      </c>
      <c r="E104" s="305" t="str">
        <f t="shared" si="3"/>
        <v>Пропан (С3Н8)</v>
      </c>
    </row>
    <row r="105" spans="1:5">
      <c r="A105" s="1" t="str">
        <f t="shared" ca="1" si="2"/>
        <v>н-Бутан (n-C4H10)</v>
      </c>
      <c r="B105" s="176" t="s">
        <v>965</v>
      </c>
      <c r="C105" s="176" t="s">
        <v>965</v>
      </c>
      <c r="D105" s="302" t="s">
        <v>1120</v>
      </c>
      <c r="E105" s="305" t="str">
        <f t="shared" si="3"/>
        <v>н-Бутан (n-C4H10)</v>
      </c>
    </row>
    <row r="106" spans="1:5">
      <c r="A106" s="1" t="str">
        <f t="shared" ca="1" si="2"/>
        <v>и-Бутан (i-C4H10)</v>
      </c>
      <c r="B106" s="176" t="s">
        <v>966</v>
      </c>
      <c r="C106" s="176" t="s">
        <v>966</v>
      </c>
      <c r="D106" s="293" t="s">
        <v>1121</v>
      </c>
      <c r="E106" s="305" t="str">
        <f t="shared" si="3"/>
        <v>и-Бутан (i-C4H10)</v>
      </c>
    </row>
    <row r="107" spans="1:5">
      <c r="A107" s="1" t="str">
        <f t="shared" ca="1" si="2"/>
        <v>н-Пентан (n-C5H12)</v>
      </c>
      <c r="B107" s="176" t="s">
        <v>967</v>
      </c>
      <c r="C107" s="176" t="s">
        <v>967</v>
      </c>
      <c r="D107" s="293" t="s">
        <v>1122</v>
      </c>
      <c r="E107" s="305" t="str">
        <f t="shared" si="3"/>
        <v>н-Пентан (n-C5H12)</v>
      </c>
    </row>
    <row r="108" spans="1:5">
      <c r="A108" s="1" t="str">
        <f t="shared" ca="1" si="2"/>
        <v>и-Пентан (i-C5H12)</v>
      </c>
      <c r="B108" s="176" t="s">
        <v>968</v>
      </c>
      <c r="C108" s="176" t="s">
        <v>968</v>
      </c>
      <c r="D108" s="293" t="s">
        <v>1123</v>
      </c>
      <c r="E108" s="305" t="str">
        <f t="shared" si="3"/>
        <v>и-Пентан (i-C5H12)</v>
      </c>
    </row>
    <row r="109" spans="1:5">
      <c r="A109" s="1" t="str">
        <f t="shared" ca="1" si="2"/>
        <v>н-Гексан (n-C6H14)</v>
      </c>
      <c r="B109" s="176" t="s">
        <v>969</v>
      </c>
      <c r="C109" s="176" t="s">
        <v>969</v>
      </c>
      <c r="D109" s="293" t="s">
        <v>1124</v>
      </c>
      <c r="E109" s="305" t="str">
        <f t="shared" si="3"/>
        <v>н-Гексан (n-C6H14)</v>
      </c>
    </row>
    <row r="110" spans="1:5">
      <c r="A110" s="1" t="str">
        <f t="shared" ca="1" si="2"/>
        <v>н-Гептан (n-C7H16)</v>
      </c>
      <c r="B110" s="176" t="s">
        <v>970</v>
      </c>
      <c r="C110" s="176" t="s">
        <v>970</v>
      </c>
      <c r="D110" s="293" t="s">
        <v>1125</v>
      </c>
      <c r="E110" s="305" t="str">
        <f t="shared" si="3"/>
        <v>н-Гептан (n-C7H16)</v>
      </c>
    </row>
    <row r="111" spans="1:5">
      <c r="A111" s="1" t="str">
        <f t="shared" ca="1" si="2"/>
        <v>н-Октан (n-C8H18)</v>
      </c>
      <c r="B111" s="176" t="s">
        <v>971</v>
      </c>
      <c r="C111" s="176" t="s">
        <v>971</v>
      </c>
      <c r="D111" s="293" t="s">
        <v>1126</v>
      </c>
      <c r="E111" s="305" t="str">
        <f t="shared" si="3"/>
        <v>н-Октан (n-C8H18)</v>
      </c>
    </row>
    <row r="112" spans="1:5">
      <c r="A112" s="1" t="str">
        <f t="shared" ca="1" si="2"/>
        <v>н-Нонан (n-C9H20)</v>
      </c>
      <c r="B112" s="176" t="s">
        <v>972</v>
      </c>
      <c r="C112" s="176" t="s">
        <v>972</v>
      </c>
      <c r="D112" s="293" t="s">
        <v>1127</v>
      </c>
      <c r="E112" s="305" t="str">
        <f t="shared" si="3"/>
        <v>н-Нонан (n-C9H20)</v>
      </c>
    </row>
    <row r="113" spans="1:5">
      <c r="A113" s="1" t="str">
        <f t="shared" ca="1" si="2"/>
        <v>н-Декан (n-C10H22)</v>
      </c>
      <c r="B113" s="176" t="s">
        <v>973</v>
      </c>
      <c r="C113" s="176" t="s">
        <v>973</v>
      </c>
      <c r="D113" s="293" t="s">
        <v>1128</v>
      </c>
      <c r="E113" s="305" t="str">
        <f t="shared" si="3"/>
        <v>н-Декан (n-C10H22)</v>
      </c>
    </row>
    <row r="114" spans="1:5">
      <c r="A114" s="1" t="str">
        <f t="shared" ca="1" si="2"/>
        <v>Водород (H2)</v>
      </c>
      <c r="B114" s="176" t="s">
        <v>974</v>
      </c>
      <c r="C114" s="176" t="s">
        <v>974</v>
      </c>
      <c r="D114" s="293" t="s">
        <v>1129</v>
      </c>
      <c r="E114" s="305" t="str">
        <f t="shared" si="3"/>
        <v>Водород (H2)</v>
      </c>
    </row>
    <row r="115" spans="1:5">
      <c r="A115" s="1" t="str">
        <f t="shared" ca="1" si="2"/>
        <v>Кислород (O2)</v>
      </c>
      <c r="B115" s="176" t="s">
        <v>975</v>
      </c>
      <c r="C115" s="176" t="s">
        <v>975</v>
      </c>
      <c r="D115" s="293" t="s">
        <v>904</v>
      </c>
      <c r="E115" s="305" t="str">
        <f t="shared" si="3"/>
        <v>Кислород (O2)</v>
      </c>
    </row>
    <row r="116" spans="1:5">
      <c r="A116" s="1" t="str">
        <f t="shared" ca="1" si="2"/>
        <v>Моноокс. Угл. (CO)</v>
      </c>
      <c r="B116" s="176" t="s">
        <v>976</v>
      </c>
      <c r="C116" s="176" t="s">
        <v>976</v>
      </c>
      <c r="D116" s="293" t="s">
        <v>1130</v>
      </c>
      <c r="E116" s="305" t="str">
        <f t="shared" si="3"/>
        <v>Моноокс. Угл. (CO)</v>
      </c>
    </row>
    <row r="117" spans="1:5">
      <c r="A117" s="1" t="str">
        <f t="shared" ca="1" si="2"/>
        <v>Вода (H2O)</v>
      </c>
      <c r="B117" s="176" t="s">
        <v>977</v>
      </c>
      <c r="C117" s="176" t="s">
        <v>977</v>
      </c>
      <c r="D117" s="293" t="s">
        <v>1131</v>
      </c>
      <c r="E117" s="305" t="str">
        <f t="shared" si="3"/>
        <v>Вода (H2O)</v>
      </c>
    </row>
    <row r="118" spans="1:5">
      <c r="A118" s="1" t="str">
        <f t="shared" ca="1" si="2"/>
        <v>Сероводород (H2S)</v>
      </c>
      <c r="B118" s="176" t="s">
        <v>978</v>
      </c>
      <c r="C118" s="176" t="s">
        <v>978</v>
      </c>
      <c r="D118" s="293" t="s">
        <v>906</v>
      </c>
      <c r="E118" s="305" t="str">
        <f t="shared" si="3"/>
        <v>Сероводород (H2S)</v>
      </c>
    </row>
    <row r="119" spans="1:5">
      <c r="A119" s="1" t="str">
        <f t="shared" ca="1" si="2"/>
        <v>Гелий (He)</v>
      </c>
      <c r="B119" s="176" t="s">
        <v>979</v>
      </c>
      <c r="C119" s="176" t="s">
        <v>979</v>
      </c>
      <c r="D119" s="293" t="s">
        <v>1132</v>
      </c>
      <c r="E119" s="305" t="str">
        <f t="shared" si="3"/>
        <v>Гелий (He)</v>
      </c>
    </row>
    <row r="120" spans="1:5">
      <c r="A120" s="1" t="str">
        <f t="shared" ca="1" si="2"/>
        <v>Аргон (Ar)</v>
      </c>
      <c r="B120" s="176" t="s">
        <v>980</v>
      </c>
      <c r="C120" s="176" t="s">
        <v>980</v>
      </c>
      <c r="D120" s="293" t="s">
        <v>1133</v>
      </c>
      <c r="E120" s="305" t="str">
        <f t="shared" si="3"/>
        <v>Аргон (Ar)</v>
      </c>
    </row>
    <row r="121" spans="1:5">
      <c r="A121" s="1">
        <f t="shared" ca="1" si="2"/>
        <v>0</v>
      </c>
      <c r="B121" s="1"/>
      <c r="C121" s="1"/>
      <c r="D121" s="296"/>
      <c r="E121" s="305">
        <f t="shared" si="3"/>
        <v>0</v>
      </c>
    </row>
    <row r="122" spans="1:5">
      <c r="A122" s="1" t="str">
        <f t="shared" ca="1" si="2"/>
        <v>Стр. 2</v>
      </c>
      <c r="B122" s="66" t="s">
        <v>439</v>
      </c>
      <c r="C122" s="66" t="s">
        <v>439</v>
      </c>
      <c r="D122" s="292" t="s">
        <v>563</v>
      </c>
      <c r="E122" s="305" t="str">
        <f t="shared" si="3"/>
        <v>Стр. 2</v>
      </c>
    </row>
    <row r="123" spans="1:5">
      <c r="A123" s="1" t="str">
        <f t="shared" ca="1" si="2"/>
        <v>Счетчик</v>
      </c>
      <c r="B123" s="66" t="s">
        <v>139</v>
      </c>
      <c r="C123" s="66" t="s">
        <v>139</v>
      </c>
      <c r="D123" s="75" t="s">
        <v>564</v>
      </c>
      <c r="E123" s="305" t="str">
        <f t="shared" si="3"/>
        <v>Счетчик</v>
      </c>
    </row>
    <row r="124" spans="1:5">
      <c r="A124" s="1" t="str">
        <f t="shared" ca="1" si="2"/>
        <v>Соответ. по давлению</v>
      </c>
      <c r="B124" s="66" t="s">
        <v>449</v>
      </c>
      <c r="C124" s="66" t="s">
        <v>449</v>
      </c>
      <c r="D124" s="75" t="s">
        <v>840</v>
      </c>
      <c r="E124" s="305" t="str">
        <f t="shared" si="3"/>
        <v>Соответ. по давлению</v>
      </c>
    </row>
    <row r="125" spans="1:5">
      <c r="A125" s="1" t="str">
        <f t="shared" ca="1" si="2"/>
        <v>Фланец</v>
      </c>
      <c r="B125" s="66" t="s">
        <v>321</v>
      </c>
      <c r="C125" s="66" t="s">
        <v>321</v>
      </c>
      <c r="D125" s="75" t="s">
        <v>565</v>
      </c>
      <c r="E125" s="305" t="str">
        <f t="shared" si="3"/>
        <v>Фланец</v>
      </c>
    </row>
    <row r="126" spans="1:5">
      <c r="A126" s="1" t="str">
        <f t="shared" ca="1" si="2"/>
        <v>Тип фланцев</v>
      </c>
      <c r="B126" s="66" t="s">
        <v>57</v>
      </c>
      <c r="C126" s="66" t="s">
        <v>57</v>
      </c>
      <c r="D126" s="176" t="s">
        <v>841</v>
      </c>
      <c r="E126" s="305" t="str">
        <f t="shared" si="3"/>
        <v>Тип фланцев</v>
      </c>
    </row>
    <row r="127" spans="1:5">
      <c r="A127" s="1" t="str">
        <f t="shared" ca="1" si="2"/>
        <v>Длина счётчика</v>
      </c>
      <c r="B127" s="66" t="s">
        <v>140</v>
      </c>
      <c r="C127" s="66" t="s">
        <v>140</v>
      </c>
      <c r="D127" s="75" t="s">
        <v>566</v>
      </c>
      <c r="E127" s="305" t="str">
        <f t="shared" si="3"/>
        <v>Длина счётчика</v>
      </c>
    </row>
    <row r="128" spans="1:5">
      <c r="A128" s="1" t="str">
        <f t="shared" ca="1" si="2"/>
        <v>Вн.диам.подсоед.трубы</v>
      </c>
      <c r="B128" s="66" t="s">
        <v>669</v>
      </c>
      <c r="C128" s="66" t="s">
        <v>669</v>
      </c>
      <c r="D128" s="176" t="s">
        <v>907</v>
      </c>
      <c r="E128" s="305" t="str">
        <f t="shared" si="3"/>
        <v>Вн.диам.подсоед.трубы</v>
      </c>
    </row>
    <row r="129" spans="1:5">
      <c r="A129" s="1" t="str">
        <f t="shared" ca="1" si="2"/>
        <v>Вн.диам.подсоед.трубы</v>
      </c>
      <c r="B129" s="66" t="s">
        <v>232</v>
      </c>
      <c r="C129" s="66" t="s">
        <v>232</v>
      </c>
      <c r="D129" s="176" t="s">
        <v>907</v>
      </c>
      <c r="E129" s="305" t="str">
        <f t="shared" si="3"/>
        <v>Вн.диам.подсоед.трубы</v>
      </c>
    </row>
    <row r="130" spans="1:5">
      <c r="A130" s="1">
        <f t="shared" ref="A130:A193" ca="1" si="4">HLOOKUP(langchoose,LangMatrix,ROW(),0)</f>
        <v>0</v>
      </c>
      <c r="D130" s="296"/>
      <c r="E130" s="305">
        <f t="shared" si="3"/>
        <v>0</v>
      </c>
    </row>
    <row r="131" spans="1:5">
      <c r="A131" s="1" t="str">
        <f t="shared" ca="1" si="4"/>
        <v>Поверхность фланцев</v>
      </c>
      <c r="B131" s="66" t="s">
        <v>353</v>
      </c>
      <c r="C131" s="66" t="s">
        <v>353</v>
      </c>
      <c r="D131" s="75" t="s">
        <v>842</v>
      </c>
      <c r="E131" s="305" t="str">
        <f t="shared" ref="E131:E194" si="5">D131</f>
        <v>Поверхность фланцев</v>
      </c>
    </row>
    <row r="132" spans="1:5">
      <c r="A132" s="1" t="str">
        <f t="shared" ca="1" si="4"/>
        <v>Ряд / Поверхность</v>
      </c>
      <c r="B132" s="66" t="s">
        <v>58</v>
      </c>
      <c r="C132" s="66" t="s">
        <v>58</v>
      </c>
      <c r="D132" s="75" t="s">
        <v>1221</v>
      </c>
      <c r="E132" s="305" t="str">
        <f t="shared" si="5"/>
        <v>Ряд / Поверхность</v>
      </c>
    </row>
    <row r="133" spans="1:5">
      <c r="A133" s="1" t="str">
        <f t="shared" ca="1" si="4"/>
        <v>Материал корпуса</v>
      </c>
      <c r="B133" s="66" t="s">
        <v>35</v>
      </c>
      <c r="C133" s="66" t="s">
        <v>35</v>
      </c>
      <c r="D133" s="176" t="s">
        <v>576</v>
      </c>
      <c r="E133" s="305" t="str">
        <f t="shared" si="5"/>
        <v>Материал корпуса</v>
      </c>
    </row>
    <row r="134" spans="1:5">
      <c r="A134" s="1" t="str">
        <f t="shared" ca="1" si="4"/>
        <v>Защит. кожух датчиков</v>
      </c>
      <c r="B134" s="66" t="s">
        <v>365</v>
      </c>
      <c r="C134" s="66" t="s">
        <v>365</v>
      </c>
      <c r="D134" s="75" t="s">
        <v>843</v>
      </c>
      <c r="E134" s="305" t="str">
        <f t="shared" si="5"/>
        <v>Защит. кожух датчиков</v>
      </c>
    </row>
    <row r="135" spans="1:5">
      <c r="A135" s="1" t="str">
        <f t="shared" ca="1" si="4"/>
        <v>Сертификат на материал</v>
      </c>
      <c r="B135" s="66" t="s">
        <v>322</v>
      </c>
      <c r="C135" s="66" t="s">
        <v>322</v>
      </c>
      <c r="D135" s="75" t="s">
        <v>567</v>
      </c>
      <c r="E135" s="305" t="str">
        <f t="shared" si="5"/>
        <v>Сертификат на материал</v>
      </c>
    </row>
    <row r="136" spans="1:5">
      <c r="A136" s="1" t="str">
        <f t="shared" ca="1" si="4"/>
        <v>Мин. расчётная темп.</v>
      </c>
      <c r="B136" s="67" t="s">
        <v>136</v>
      </c>
      <c r="C136" s="67" t="s">
        <v>136</v>
      </c>
      <c r="D136" s="75" t="s">
        <v>568</v>
      </c>
      <c r="E136" s="305" t="str">
        <f t="shared" si="5"/>
        <v>Мин. расчётная темп.</v>
      </c>
    </row>
    <row r="137" spans="1:5">
      <c r="A137" s="1" t="str">
        <f t="shared" ca="1" si="4"/>
        <v>Макс. расчётн. темп.</v>
      </c>
      <c r="B137" s="67" t="s">
        <v>137</v>
      </c>
      <c r="C137" s="67" t="s">
        <v>137</v>
      </c>
      <c r="D137" s="75" t="s">
        <v>630</v>
      </c>
      <c r="E137" s="305" t="str">
        <f t="shared" si="5"/>
        <v>Макс. расчётн. темп.</v>
      </c>
    </row>
    <row r="138" spans="1:5">
      <c r="A138" s="1" t="str">
        <f t="shared" ca="1" si="4"/>
        <v>Расчетн. давление (изб.)</v>
      </c>
      <c r="B138" s="67" t="s">
        <v>34</v>
      </c>
      <c r="C138" s="67" t="s">
        <v>34</v>
      </c>
      <c r="D138" s="303" t="s">
        <v>1316</v>
      </c>
      <c r="E138" s="305" t="str">
        <f t="shared" si="5"/>
        <v>Расчетн. давление (изб.)</v>
      </c>
    </row>
    <row r="139" spans="1:5">
      <c r="A139" s="1" t="str">
        <f t="shared" ca="1" si="4"/>
        <v>Замена датчиков под рабочим давлением</v>
      </c>
      <c r="B139" s="66" t="s">
        <v>361</v>
      </c>
      <c r="C139" s="66" t="s">
        <v>361</v>
      </c>
      <c r="D139" s="75" t="s">
        <v>1215</v>
      </c>
      <c r="E139" s="305" t="str">
        <f t="shared" si="5"/>
        <v>Замена датчиков под рабочим давлением</v>
      </c>
    </row>
    <row r="140" spans="1:5">
      <c r="A140" s="1" t="str">
        <f t="shared" ca="1" si="4"/>
        <v>NACE совместимость</v>
      </c>
      <c r="B140" s="66" t="s">
        <v>354</v>
      </c>
      <c r="C140" s="66" t="s">
        <v>354</v>
      </c>
      <c r="D140" s="75" t="s">
        <v>569</v>
      </c>
      <c r="E140" s="305" t="str">
        <f t="shared" si="5"/>
        <v>NACE совместимость</v>
      </c>
    </row>
    <row r="141" spans="1:5">
      <c r="A141" s="1" t="str">
        <f t="shared" ca="1" si="4"/>
        <v>Отбор давления</v>
      </c>
      <c r="B141" s="66" t="s">
        <v>151</v>
      </c>
      <c r="C141" s="66" t="s">
        <v>151</v>
      </c>
      <c r="D141" s="75" t="s">
        <v>844</v>
      </c>
      <c r="E141" s="305" t="str">
        <f t="shared" si="5"/>
        <v>Отбор давления</v>
      </c>
    </row>
    <row r="142" spans="1:5">
      <c r="A142" s="1" t="str">
        <f t="shared" ca="1" si="4"/>
        <v>Внешняя покраска</v>
      </c>
      <c r="B142" s="66" t="s">
        <v>152</v>
      </c>
      <c r="C142" s="66" t="s">
        <v>152</v>
      </c>
      <c r="D142" s="75" t="s">
        <v>570</v>
      </c>
      <c r="E142" s="305" t="str">
        <f t="shared" si="5"/>
        <v>Внешняя покраска</v>
      </c>
    </row>
    <row r="143" spans="1:5">
      <c r="A143" s="1">
        <f t="shared" ca="1" si="4"/>
        <v>0</v>
      </c>
      <c r="D143" s="296"/>
      <c r="E143" s="305">
        <f t="shared" si="5"/>
        <v>0</v>
      </c>
    </row>
    <row r="144" spans="1:5">
      <c r="A144" s="1">
        <f t="shared" ca="1" si="4"/>
        <v>0</v>
      </c>
      <c r="D144" s="296"/>
      <c r="E144" s="305">
        <f t="shared" si="5"/>
        <v>0</v>
      </c>
    </row>
    <row r="145" spans="1:5">
      <c r="A145" s="1" t="str">
        <f t="shared" ca="1" si="4"/>
        <v>Тест на герметичность</v>
      </c>
      <c r="B145" s="66" t="s">
        <v>242</v>
      </c>
      <c r="C145" s="66" t="s">
        <v>242</v>
      </c>
      <c r="D145" s="75" t="s">
        <v>571</v>
      </c>
      <c r="E145" s="305" t="str">
        <f t="shared" si="5"/>
        <v>Тест на герметичность</v>
      </c>
    </row>
    <row r="146" spans="1:5">
      <c r="A146" s="1" t="str">
        <f t="shared" ca="1" si="4"/>
        <v>Тест на герм. давлением</v>
      </c>
      <c r="B146" s="66" t="s">
        <v>243</v>
      </c>
      <c r="C146" s="66" t="s">
        <v>243</v>
      </c>
      <c r="D146" s="75" t="s">
        <v>572</v>
      </c>
      <c r="E146" s="305" t="str">
        <f t="shared" si="5"/>
        <v>Тест на герм. давлением</v>
      </c>
    </row>
    <row r="147" spans="1:5">
      <c r="A147" s="1" t="str">
        <f t="shared" ca="1" si="4"/>
        <v>Время испытания</v>
      </c>
      <c r="B147" s="66" t="s">
        <v>360</v>
      </c>
      <c r="C147" s="66" t="s">
        <v>360</v>
      </c>
      <c r="D147" s="303" t="s">
        <v>1134</v>
      </c>
      <c r="E147" s="305" t="str">
        <f t="shared" si="5"/>
        <v>Время испытания</v>
      </c>
    </row>
    <row r="148" spans="1:5">
      <c r="A148" s="1" t="str">
        <f t="shared" ca="1" si="4"/>
        <v>Кол-во повторов</v>
      </c>
      <c r="B148" s="66" t="s">
        <v>209</v>
      </c>
      <c r="C148" s="66" t="s">
        <v>209</v>
      </c>
      <c r="D148" s="75" t="s">
        <v>573</v>
      </c>
      <c r="E148" s="305" t="str">
        <f t="shared" si="5"/>
        <v>Кол-во повторов</v>
      </c>
    </row>
    <row r="149" spans="1:5">
      <c r="A149" s="1" t="str">
        <f t="shared" ca="1" si="4"/>
        <v>Гидростатический тест</v>
      </c>
      <c r="B149" s="66" t="s">
        <v>330</v>
      </c>
      <c r="C149" s="66" t="s">
        <v>330</v>
      </c>
      <c r="D149" s="303" t="s">
        <v>1135</v>
      </c>
      <c r="E149" s="305" t="str">
        <f t="shared" si="5"/>
        <v>Гидростатический тест</v>
      </c>
    </row>
    <row r="150" spans="1:5">
      <c r="A150" s="1" t="str">
        <f t="shared" ca="1" si="4"/>
        <v>Давление испытания</v>
      </c>
      <c r="B150" s="66" t="s">
        <v>53</v>
      </c>
      <c r="C150" s="66" t="s">
        <v>53</v>
      </c>
      <c r="D150" s="303" t="s">
        <v>1136</v>
      </c>
      <c r="E150" s="305" t="str">
        <f t="shared" si="5"/>
        <v>Давление испытания</v>
      </c>
    </row>
    <row r="151" spans="1:5">
      <c r="A151" s="1" t="str">
        <f t="shared" ca="1" si="4"/>
        <v>1.1 x расчётного давления</v>
      </c>
      <c r="B151" s="66" t="s">
        <v>318</v>
      </c>
      <c r="C151" s="66" t="s">
        <v>318</v>
      </c>
      <c r="D151" s="303" t="s">
        <v>1137</v>
      </c>
      <c r="E151" s="305" t="str">
        <f t="shared" si="5"/>
        <v>1.1 x расчётного давления</v>
      </c>
    </row>
    <row r="152" spans="1:5">
      <c r="A152" s="1" t="str">
        <f t="shared" ca="1" si="4"/>
        <v>1.5 x расчётного давления</v>
      </c>
      <c r="B152" s="66" t="s">
        <v>367</v>
      </c>
      <c r="C152" s="66" t="s">
        <v>367</v>
      </c>
      <c r="D152" s="303" t="s">
        <v>1138</v>
      </c>
      <c r="E152" s="305" t="str">
        <f t="shared" si="5"/>
        <v>1.5 x расчётного давления</v>
      </c>
    </row>
    <row r="153" spans="1:5">
      <c r="A153" s="1">
        <f t="shared" ca="1" si="4"/>
        <v>0</v>
      </c>
      <c r="D153" s="292"/>
      <c r="E153" s="305">
        <f t="shared" si="5"/>
        <v>0</v>
      </c>
    </row>
    <row r="154" spans="1:5">
      <c r="A154" s="1" t="str">
        <f t="shared" ca="1" si="4"/>
        <v>Блок обработки сигналов (БОС)</v>
      </c>
      <c r="B154" s="66" t="s">
        <v>154</v>
      </c>
      <c r="C154" s="66" t="s">
        <v>1229</v>
      </c>
      <c r="D154" s="293" t="s">
        <v>1244</v>
      </c>
      <c r="E154" s="305" t="str">
        <f t="shared" si="5"/>
        <v>Блок обработки сигналов (БОС)</v>
      </c>
    </row>
    <row r="155" spans="1:5">
      <c r="A155" s="1" t="str">
        <f t="shared" ca="1" si="4"/>
        <v>Ex защита</v>
      </c>
      <c r="B155" s="66" t="s">
        <v>323</v>
      </c>
      <c r="C155" s="66" t="s">
        <v>323</v>
      </c>
      <c r="D155" s="292" t="s">
        <v>574</v>
      </c>
      <c r="E155" s="305" t="str">
        <f t="shared" si="5"/>
        <v>Ex защита</v>
      </c>
    </row>
    <row r="156" spans="1:5">
      <c r="A156" s="1" t="str">
        <f t="shared" ca="1" si="4"/>
        <v>Единицы</v>
      </c>
      <c r="B156" s="66" t="s">
        <v>54</v>
      </c>
      <c r="C156" s="66" t="s">
        <v>54</v>
      </c>
      <c r="D156" s="292" t="s">
        <v>575</v>
      </c>
      <c r="E156" s="305" t="str">
        <f t="shared" si="5"/>
        <v>Единицы</v>
      </c>
    </row>
    <row r="157" spans="1:5">
      <c r="A157" s="1" t="str">
        <f t="shared" ca="1" si="4"/>
        <v>Материал корпуса</v>
      </c>
      <c r="B157" s="66" t="s">
        <v>245</v>
      </c>
      <c r="C157" s="66" t="s">
        <v>245</v>
      </c>
      <c r="D157" s="292" t="s">
        <v>576</v>
      </c>
      <c r="E157" s="305" t="str">
        <f t="shared" si="5"/>
        <v>Материал корпуса</v>
      </c>
    </row>
    <row r="158" spans="1:5">
      <c r="A158" s="1" t="str">
        <f t="shared" ca="1" si="4"/>
        <v>Передняя панель</v>
      </c>
      <c r="B158" s="66" t="s">
        <v>41</v>
      </c>
      <c r="C158" s="66" t="s">
        <v>41</v>
      </c>
      <c r="D158" s="293" t="s">
        <v>909</v>
      </c>
      <c r="E158" s="305" t="str">
        <f t="shared" si="5"/>
        <v>Передняя панель</v>
      </c>
    </row>
    <row r="159" spans="1:5">
      <c r="A159" s="1" t="str">
        <f t="shared" ca="1" si="4"/>
        <v>Исполнение без Ex защиты</v>
      </c>
      <c r="B159" s="66" t="s">
        <v>988</v>
      </c>
      <c r="C159" s="66" t="s">
        <v>988</v>
      </c>
      <c r="D159" s="304" t="s">
        <v>1139</v>
      </c>
      <c r="E159" s="305" t="str">
        <f t="shared" si="5"/>
        <v>Исполнение без Ex защиты</v>
      </c>
    </row>
    <row r="160" spans="1:5">
      <c r="A160" s="1">
        <f t="shared" ca="1" si="4"/>
        <v>0</v>
      </c>
      <c r="D160" s="296"/>
      <c r="E160" s="305">
        <f t="shared" si="5"/>
        <v>0</v>
      </c>
    </row>
    <row r="161" spans="1:5">
      <c r="A161" s="1" t="str">
        <f t="shared" ca="1" si="4"/>
        <v>Калибровка</v>
      </c>
      <c r="B161" s="66" t="s">
        <v>389</v>
      </c>
      <c r="C161" s="66" t="s">
        <v>389</v>
      </c>
      <c r="D161" s="75" t="s">
        <v>577</v>
      </c>
      <c r="E161" s="305" t="str">
        <f t="shared" si="5"/>
        <v>Калибровка</v>
      </c>
    </row>
    <row r="162" spans="1:5">
      <c r="A162" s="1" t="str">
        <f t="shared" ca="1" si="4"/>
        <v>Двунаправленный поток</v>
      </c>
      <c r="B162" s="66" t="s">
        <v>55</v>
      </c>
      <c r="C162" s="66" t="s">
        <v>55</v>
      </c>
      <c r="D162" s="75" t="s">
        <v>578</v>
      </c>
      <c r="E162" s="305" t="str">
        <f t="shared" si="5"/>
        <v>Двунаправленный поток</v>
      </c>
    </row>
    <row r="163" spans="1:5">
      <c r="A163" s="1" t="str">
        <f t="shared" ca="1" si="4"/>
        <v>Тестирующая среда</v>
      </c>
      <c r="B163" s="66" t="s">
        <v>52</v>
      </c>
      <c r="C163" s="66" t="s">
        <v>52</v>
      </c>
      <c r="D163" s="75" t="s">
        <v>579</v>
      </c>
      <c r="E163" s="305" t="str">
        <f t="shared" si="5"/>
        <v>Тестирующая среда</v>
      </c>
    </row>
    <row r="164" spans="1:5">
      <c r="A164" s="1" t="str">
        <f t="shared" ca="1" si="4"/>
        <v>Мин.расх. (р.у.)</v>
      </c>
      <c r="B164" s="66" t="s">
        <v>324</v>
      </c>
      <c r="C164" s="66" t="s">
        <v>324</v>
      </c>
      <c r="D164" s="303" t="s">
        <v>1235</v>
      </c>
      <c r="E164" s="305" t="str">
        <f t="shared" si="5"/>
        <v>Мин.расх. (р.у.)</v>
      </c>
    </row>
    <row r="165" spans="1:5">
      <c r="A165" s="1" t="str">
        <f t="shared" ca="1" si="4"/>
        <v>Макс.расх.(р.у.)</v>
      </c>
      <c r="B165" s="66" t="s">
        <v>325</v>
      </c>
      <c r="C165" s="66" t="s">
        <v>325</v>
      </c>
      <c r="D165" s="303" t="s">
        <v>1234</v>
      </c>
      <c r="E165" s="305" t="str">
        <f t="shared" si="5"/>
        <v>Макс.расх.(р.у.)</v>
      </c>
    </row>
    <row r="166" spans="1:5">
      <c r="A166" s="1" t="str">
        <f t="shared" ca="1" si="4"/>
        <v>Дин. диапазон калибровки</v>
      </c>
      <c r="B166" s="66" t="s">
        <v>225</v>
      </c>
      <c r="C166" s="66" t="s">
        <v>225</v>
      </c>
      <c r="D166" s="176" t="s">
        <v>910</v>
      </c>
      <c r="E166" s="305" t="str">
        <f t="shared" si="5"/>
        <v>Дин. диапазон калибровки</v>
      </c>
    </row>
    <row r="167" spans="1:5">
      <c r="A167" s="1" t="str">
        <f t="shared" ca="1" si="4"/>
        <v>Точки тестирования</v>
      </c>
      <c r="B167" s="66" t="s">
        <v>146</v>
      </c>
      <c r="C167" s="66" t="s">
        <v>146</v>
      </c>
      <c r="D167" s="75" t="s">
        <v>580</v>
      </c>
      <c r="E167" s="305" t="str">
        <f t="shared" si="5"/>
        <v>Точки тестирования</v>
      </c>
    </row>
    <row r="168" spans="1:5">
      <c r="A168" s="1" t="str">
        <f t="shared" ca="1" si="4"/>
        <v>от Qmax</v>
      </c>
      <c r="B168" s="66" t="s">
        <v>317</v>
      </c>
      <c r="C168" s="66" t="s">
        <v>317</v>
      </c>
      <c r="D168" s="176" t="s">
        <v>911</v>
      </c>
      <c r="E168" s="305" t="str">
        <f t="shared" si="5"/>
        <v>от Qmax</v>
      </c>
    </row>
    <row r="169" spans="1:5">
      <c r="A169" s="1" t="str">
        <f t="shared" ca="1" si="4"/>
        <v>Сертификат</v>
      </c>
      <c r="B169" s="66" t="s">
        <v>1007</v>
      </c>
      <c r="C169" s="66" t="s">
        <v>1007</v>
      </c>
      <c r="D169" s="294" t="s">
        <v>581</v>
      </c>
      <c r="E169" s="305" t="str">
        <f t="shared" si="5"/>
        <v>Сертификат</v>
      </c>
    </row>
    <row r="170" spans="1:5">
      <c r="A170" s="1" t="str">
        <f t="shared" ca="1" si="4"/>
        <v>Тип калибровки</v>
      </c>
      <c r="B170" s="75" t="s">
        <v>1070</v>
      </c>
      <c r="C170" s="75" t="s">
        <v>1070</v>
      </c>
      <c r="D170" s="294" t="s">
        <v>1140</v>
      </c>
      <c r="E170" s="305" t="str">
        <f t="shared" si="5"/>
        <v>Тип калибровки</v>
      </c>
    </row>
    <row r="171" spans="1:5">
      <c r="A171" s="1">
        <f t="shared" ca="1" si="4"/>
        <v>0</v>
      </c>
      <c r="D171" s="296"/>
      <c r="E171" s="305">
        <f t="shared" si="5"/>
        <v>0</v>
      </c>
    </row>
    <row r="172" spans="1:5">
      <c r="A172" s="1">
        <f t="shared" ca="1" si="4"/>
        <v>0</v>
      </c>
      <c r="D172" s="296"/>
      <c r="E172" s="305">
        <f t="shared" si="5"/>
        <v>0</v>
      </c>
    </row>
    <row r="173" spans="1:5">
      <c r="A173" s="1" t="str">
        <f t="shared" ca="1" si="4"/>
        <v>диаметр →</v>
      </c>
      <c r="B173" s="66" t="s">
        <v>314</v>
      </c>
      <c r="C173" s="66" t="s">
        <v>314</v>
      </c>
      <c r="D173" s="292" t="s">
        <v>582</v>
      </c>
      <c r="E173" s="305" t="str">
        <f t="shared" si="5"/>
        <v>диаметр →</v>
      </c>
    </row>
    <row r="174" spans="1:5">
      <c r="A174" s="1" t="str">
        <f t="shared" ca="1" si="4"/>
        <v>не заполнять</v>
      </c>
      <c r="B174" s="66" t="s">
        <v>666</v>
      </c>
      <c r="C174" s="66" t="s">
        <v>666</v>
      </c>
      <c r="D174" s="292" t="s">
        <v>1141</v>
      </c>
      <c r="E174" s="305" t="str">
        <f t="shared" si="5"/>
        <v>не заполнять</v>
      </c>
    </row>
    <row r="175" spans="1:5">
      <c r="A175" s="1">
        <f t="shared" ca="1" si="4"/>
        <v>0</v>
      </c>
      <c r="D175" s="292"/>
      <c r="E175" s="305">
        <f t="shared" si="5"/>
        <v>0</v>
      </c>
    </row>
    <row r="176" spans="1:5">
      <c r="A176" s="1" t="str">
        <f t="shared" ca="1" si="4"/>
        <v>RF, ANSI B16.5, B16.47</v>
      </c>
      <c r="B176" s="66" t="s">
        <v>1075</v>
      </c>
      <c r="C176" s="66" t="s">
        <v>1075</v>
      </c>
      <c r="D176" s="292" t="s">
        <v>1077</v>
      </c>
      <c r="E176" s="305" t="str">
        <f t="shared" si="5"/>
        <v>RF, ANSI B16.5, B16.47</v>
      </c>
    </row>
    <row r="177" spans="1:5">
      <c r="A177" s="1" t="str">
        <f t="shared" ca="1" si="4"/>
        <v>RTJ, ANSI B16.5, B16.47</v>
      </c>
      <c r="B177" s="66" t="s">
        <v>1076</v>
      </c>
      <c r="C177" s="66" t="s">
        <v>1076</v>
      </c>
      <c r="D177" s="292" t="s">
        <v>1078</v>
      </c>
      <c r="E177" s="305" t="str">
        <f t="shared" si="5"/>
        <v>RTJ, ANSI B16.5, B16.47</v>
      </c>
    </row>
    <row r="178" spans="1:5">
      <c r="A178" s="1" t="str">
        <f t="shared" ca="1" si="4"/>
        <v>форма С (DIN 2526)</v>
      </c>
      <c r="B178" s="66" t="s">
        <v>638</v>
      </c>
      <c r="C178" s="66" t="s">
        <v>638</v>
      </c>
      <c r="D178" s="292" t="s">
        <v>654</v>
      </c>
      <c r="E178" s="305" t="str">
        <f t="shared" si="5"/>
        <v>форма С (DIN 2526)</v>
      </c>
    </row>
    <row r="179" spans="1:5">
      <c r="A179" s="1" t="str">
        <f t="shared" ca="1" si="4"/>
        <v>форма Е (DIN 2526)</v>
      </c>
      <c r="B179" s="66" t="s">
        <v>639</v>
      </c>
      <c r="C179" s="66" t="s">
        <v>639</v>
      </c>
      <c r="D179" s="292" t="s">
        <v>655</v>
      </c>
      <c r="E179" s="305" t="str">
        <f t="shared" si="5"/>
        <v>форма Е (DIN 2526)</v>
      </c>
    </row>
    <row r="180" spans="1:5">
      <c r="A180" s="1" t="str">
        <f t="shared" ca="1" si="4"/>
        <v>форма A (EN 1092-1)</v>
      </c>
      <c r="B180" s="66" t="s">
        <v>990</v>
      </c>
      <c r="C180" s="66" t="s">
        <v>990</v>
      </c>
      <c r="D180" s="305" t="s">
        <v>991</v>
      </c>
      <c r="E180" s="305" t="str">
        <f t="shared" si="5"/>
        <v>форма A (EN 1092-1)</v>
      </c>
    </row>
    <row r="181" spans="1:5">
      <c r="A181" s="1" t="str">
        <f t="shared" ca="1" si="4"/>
        <v>форма В1 (EN 1092-1)</v>
      </c>
      <c r="B181" s="66" t="s">
        <v>640</v>
      </c>
      <c r="C181" s="66" t="s">
        <v>640</v>
      </c>
      <c r="D181" s="292" t="s">
        <v>656</v>
      </c>
      <c r="E181" s="305" t="str">
        <f t="shared" si="5"/>
        <v>форма В1 (EN 1092-1)</v>
      </c>
    </row>
    <row r="182" spans="1:5">
      <c r="A182" s="1" t="str">
        <f t="shared" ca="1" si="4"/>
        <v>форма В2 (EN 1092-1)</v>
      </c>
      <c r="B182" s="66" t="s">
        <v>641</v>
      </c>
      <c r="C182" s="66" t="s">
        <v>641</v>
      </c>
      <c r="D182" s="292" t="s">
        <v>657</v>
      </c>
      <c r="E182" s="305" t="str">
        <f t="shared" si="5"/>
        <v>форма В2 (EN 1092-1)</v>
      </c>
    </row>
    <row r="183" spans="1:5">
      <c r="A183" s="1" t="str">
        <f t="shared" ca="1" si="4"/>
        <v>форма C (EN 1092-1)</v>
      </c>
      <c r="B183" t="s">
        <v>992</v>
      </c>
      <c r="C183" t="s">
        <v>992</v>
      </c>
      <c r="D183" s="306" t="s">
        <v>993</v>
      </c>
      <c r="E183" s="305" t="str">
        <f t="shared" si="5"/>
        <v>форма C (EN 1092-1)</v>
      </c>
    </row>
    <row r="184" spans="1:5">
      <c r="A184" s="1" t="str">
        <f t="shared" ca="1" si="4"/>
        <v>форма D (EN 1092-1)</v>
      </c>
      <c r="B184" t="s">
        <v>994</v>
      </c>
      <c r="C184" t="s">
        <v>994</v>
      </c>
      <c r="D184" s="306" t="s">
        <v>995</v>
      </c>
      <c r="E184" s="305" t="str">
        <f t="shared" si="5"/>
        <v>форма D (EN 1092-1)</v>
      </c>
    </row>
    <row r="185" spans="1:5">
      <c r="A185" s="1" t="str">
        <f t="shared" ca="1" si="4"/>
        <v>форма E (EN 1092-1)</v>
      </c>
      <c r="B185" t="s">
        <v>996</v>
      </c>
      <c r="C185" t="s">
        <v>996</v>
      </c>
      <c r="D185" s="306" t="s">
        <v>997</v>
      </c>
      <c r="E185" s="305" t="str">
        <f t="shared" si="5"/>
        <v>форма E (EN 1092-1)</v>
      </c>
    </row>
    <row r="186" spans="1:5">
      <c r="A186" s="1" t="str">
        <f t="shared" ca="1" si="4"/>
        <v>форма F (EN 1092-1)</v>
      </c>
      <c r="B186" t="s">
        <v>998</v>
      </c>
      <c r="C186" t="s">
        <v>998</v>
      </c>
      <c r="D186" s="306" t="s">
        <v>999</v>
      </c>
      <c r="E186" s="305" t="str">
        <f t="shared" si="5"/>
        <v>форма F (EN 1092-1)</v>
      </c>
    </row>
    <row r="187" spans="1:5">
      <c r="A187" s="1" t="str">
        <f t="shared" ca="1" si="4"/>
        <v>форма G (EN 1092-1)</v>
      </c>
      <c r="B187" t="s">
        <v>1000</v>
      </c>
      <c r="C187" t="s">
        <v>1000</v>
      </c>
      <c r="D187" s="306" t="s">
        <v>1001</v>
      </c>
      <c r="E187" s="305" t="str">
        <f t="shared" si="5"/>
        <v>форма G (EN 1092-1)</v>
      </c>
    </row>
    <row r="188" spans="1:5">
      <c r="A188" s="1" t="str">
        <f t="shared" ca="1" si="4"/>
        <v>форма H (EN 1092-1)</v>
      </c>
      <c r="B188" t="s">
        <v>1002</v>
      </c>
      <c r="C188" t="s">
        <v>1002</v>
      </c>
      <c r="D188" s="306" t="s">
        <v>1003</v>
      </c>
      <c r="E188" s="305" t="str">
        <f t="shared" si="5"/>
        <v>форма H (EN 1092-1)</v>
      </c>
    </row>
    <row r="189" spans="1:5">
      <c r="A189" s="1">
        <f t="shared" ca="1" si="4"/>
        <v>0</v>
      </c>
      <c r="D189" s="292"/>
      <c r="E189" s="305">
        <f t="shared" si="5"/>
        <v>0</v>
      </c>
    </row>
    <row r="190" spans="1:5">
      <c r="A190" s="1" t="str">
        <f t="shared" ca="1" si="4"/>
        <v>ГОСТ 12821-80: Pу06</v>
      </c>
      <c r="B190" s="1" t="s">
        <v>1060</v>
      </c>
      <c r="C190" s="1" t="s">
        <v>1060</v>
      </c>
      <c r="D190" s="294" t="s">
        <v>1064</v>
      </c>
      <c r="E190" s="305" t="str">
        <f t="shared" si="5"/>
        <v>ГОСТ 12821-80: Pу06</v>
      </c>
    </row>
    <row r="191" spans="1:5">
      <c r="A191" s="1" t="str">
        <f t="shared" ca="1" si="4"/>
        <v>ГОСТ 12821-80: Pу10</v>
      </c>
      <c r="B191" s="1" t="s">
        <v>1061</v>
      </c>
      <c r="C191" s="1" t="s">
        <v>1061</v>
      </c>
      <c r="D191" s="294" t="s">
        <v>1065</v>
      </c>
      <c r="E191" s="305" t="str">
        <f t="shared" si="5"/>
        <v>ГОСТ 12821-80: Pу10</v>
      </c>
    </row>
    <row r="192" spans="1:5">
      <c r="A192" s="1" t="str">
        <f t="shared" ca="1" si="4"/>
        <v>ГОСТ 12821-80: Pу16</v>
      </c>
      <c r="B192" s="1" t="s">
        <v>1028</v>
      </c>
      <c r="C192" s="1" t="s">
        <v>1028</v>
      </c>
      <c r="D192" s="294" t="s">
        <v>881</v>
      </c>
      <c r="E192" s="305" t="str">
        <f t="shared" si="5"/>
        <v>ГОСТ 12821-80: Pу16</v>
      </c>
    </row>
    <row r="193" spans="1:5">
      <c r="A193" s="1" t="str">
        <f t="shared" ca="1" si="4"/>
        <v>ГОСТ 12821-80: Pу25</v>
      </c>
      <c r="B193" s="1" t="s">
        <v>1062</v>
      </c>
      <c r="C193" s="1" t="s">
        <v>1062</v>
      </c>
      <c r="D193" s="294" t="s">
        <v>1066</v>
      </c>
      <c r="E193" s="305" t="str">
        <f t="shared" si="5"/>
        <v>ГОСТ 12821-80: Pу25</v>
      </c>
    </row>
    <row r="194" spans="1:5">
      <c r="A194" s="1" t="str">
        <f t="shared" ref="A194:A257" ca="1" si="6">HLOOKUP(langchoose,LangMatrix,ROW(),0)</f>
        <v>ГОСТ 12821-80: Pу40</v>
      </c>
      <c r="B194" s="1" t="s">
        <v>1029</v>
      </c>
      <c r="C194" s="1" t="s">
        <v>1029</v>
      </c>
      <c r="D194" s="294" t="s">
        <v>882</v>
      </c>
      <c r="E194" s="305" t="str">
        <f t="shared" si="5"/>
        <v>ГОСТ 12821-80: Pу40</v>
      </c>
    </row>
    <row r="195" spans="1:5">
      <c r="A195" s="1" t="str">
        <f t="shared" ca="1" si="6"/>
        <v>ГОСТ 12821-80: Pу63</v>
      </c>
      <c r="B195" s="1" t="s">
        <v>1030</v>
      </c>
      <c r="C195" s="1" t="s">
        <v>1030</v>
      </c>
      <c r="D195" s="294" t="s">
        <v>883</v>
      </c>
      <c r="E195" s="305" t="str">
        <f t="shared" ref="E195:E258" si="7">D195</f>
        <v>ГОСТ 12821-80: Pу63</v>
      </c>
    </row>
    <row r="196" spans="1:5">
      <c r="A196" s="1" t="str">
        <f t="shared" ca="1" si="6"/>
        <v>ГОСТ 12821-80: Pу64</v>
      </c>
      <c r="B196" s="1" t="s">
        <v>1063</v>
      </c>
      <c r="C196" s="1" t="s">
        <v>1063</v>
      </c>
      <c r="D196" s="294" t="s">
        <v>1067</v>
      </c>
      <c r="E196" s="305" t="str">
        <f t="shared" si="7"/>
        <v>ГОСТ 12821-80: Pу64</v>
      </c>
    </row>
    <row r="197" spans="1:5">
      <c r="A197" s="1" t="str">
        <f t="shared" ca="1" si="6"/>
        <v>ГОСТ 12821-80: Pу100</v>
      </c>
      <c r="B197" s="1" t="s">
        <v>1031</v>
      </c>
      <c r="C197" s="1" t="s">
        <v>1031</v>
      </c>
      <c r="D197" s="294" t="s">
        <v>884</v>
      </c>
      <c r="E197" s="305" t="str">
        <f t="shared" si="7"/>
        <v>ГОСТ 12821-80: Pу100</v>
      </c>
    </row>
    <row r="198" spans="1:5">
      <c r="A198" s="1" t="str">
        <f t="shared" ca="1" si="6"/>
        <v>ГОСТ 12821-80: Pу160</v>
      </c>
      <c r="B198" s="1" t="s">
        <v>1032</v>
      </c>
      <c r="C198" s="1" t="s">
        <v>1032</v>
      </c>
      <c r="D198" s="294" t="s">
        <v>885</v>
      </c>
      <c r="E198" s="305" t="str">
        <f t="shared" si="7"/>
        <v>ГОСТ 12821-80: Pу160</v>
      </c>
    </row>
    <row r="199" spans="1:5">
      <c r="A199" s="1" t="str">
        <f t="shared" ca="1" si="6"/>
        <v>ГОСТ 12821-80: Pу200</v>
      </c>
      <c r="B199" s="1" t="s">
        <v>1033</v>
      </c>
      <c r="C199" s="1" t="s">
        <v>1033</v>
      </c>
      <c r="D199" s="294" t="s">
        <v>886</v>
      </c>
      <c r="E199" s="305" t="str">
        <f t="shared" si="7"/>
        <v>ГОСТ 12821-80: Pу200</v>
      </c>
    </row>
    <row r="200" spans="1:5">
      <c r="A200" s="1">
        <f t="shared" ca="1" si="6"/>
        <v>0</v>
      </c>
      <c r="D200" s="292"/>
      <c r="E200" s="305">
        <f t="shared" si="7"/>
        <v>0</v>
      </c>
    </row>
    <row r="201" spans="1:5">
      <c r="A201" s="1" t="str">
        <f t="shared" ca="1" si="6"/>
        <v>ГОСТ 12815-80: Исполн. 1</v>
      </c>
      <c r="B201" s="175" t="s">
        <v>869</v>
      </c>
      <c r="C201" s="175" t="s">
        <v>869</v>
      </c>
      <c r="D201" s="292" t="s">
        <v>859</v>
      </c>
      <c r="E201" s="305" t="str">
        <f t="shared" si="7"/>
        <v>ГОСТ 12815-80: Исполн. 1</v>
      </c>
    </row>
    <row r="202" spans="1:5">
      <c r="A202" s="1" t="str">
        <f t="shared" ca="1" si="6"/>
        <v>ГОСТ 12815-80: Исполн. 2</v>
      </c>
      <c r="B202" s="175" t="s">
        <v>870</v>
      </c>
      <c r="C202" s="175" t="s">
        <v>870</v>
      </c>
      <c r="D202" s="292" t="s">
        <v>860</v>
      </c>
      <c r="E202" s="305" t="str">
        <f t="shared" si="7"/>
        <v>ГОСТ 12815-80: Исполн. 2</v>
      </c>
    </row>
    <row r="203" spans="1:5">
      <c r="A203" s="1" t="str">
        <f t="shared" ca="1" si="6"/>
        <v>ГОСТ 12815-80: Исполн. 3</v>
      </c>
      <c r="B203" s="175" t="s">
        <v>871</v>
      </c>
      <c r="C203" s="175" t="s">
        <v>871</v>
      </c>
      <c r="D203" s="292" t="s">
        <v>861</v>
      </c>
      <c r="E203" s="305" t="str">
        <f t="shared" si="7"/>
        <v>ГОСТ 12815-80: Исполн. 3</v>
      </c>
    </row>
    <row r="204" spans="1:5">
      <c r="A204" s="1" t="str">
        <f t="shared" ca="1" si="6"/>
        <v>ГОСТ 12815-80: Исполн. 4</v>
      </c>
      <c r="B204" s="175" t="s">
        <v>872</v>
      </c>
      <c r="C204" s="175" t="s">
        <v>872</v>
      </c>
      <c r="D204" s="292" t="s">
        <v>862</v>
      </c>
      <c r="E204" s="305" t="str">
        <f t="shared" si="7"/>
        <v>ГОСТ 12815-80: Исполн. 4</v>
      </c>
    </row>
    <row r="205" spans="1:5">
      <c r="A205" s="1" t="str">
        <f t="shared" ca="1" si="6"/>
        <v>ГОСТ 12815-80: Исполн. 5</v>
      </c>
      <c r="B205" s="175" t="s">
        <v>873</v>
      </c>
      <c r="C205" s="175" t="s">
        <v>873</v>
      </c>
      <c r="D205" s="292" t="s">
        <v>863</v>
      </c>
      <c r="E205" s="305" t="str">
        <f t="shared" si="7"/>
        <v>ГОСТ 12815-80: Исполн. 5</v>
      </c>
    </row>
    <row r="206" spans="1:5">
      <c r="A206" s="1" t="str">
        <f t="shared" ca="1" si="6"/>
        <v>ГОСТ 12815-80: Исполн. 6</v>
      </c>
      <c r="B206" s="175" t="s">
        <v>874</v>
      </c>
      <c r="C206" s="175" t="s">
        <v>874</v>
      </c>
      <c r="D206" s="292" t="s">
        <v>864</v>
      </c>
      <c r="E206" s="305" t="str">
        <f t="shared" si="7"/>
        <v>ГОСТ 12815-80: Исполн. 6</v>
      </c>
    </row>
    <row r="207" spans="1:5">
      <c r="A207" s="1" t="str">
        <f t="shared" ca="1" si="6"/>
        <v>ГОСТ 12815-80: Исполн. 7</v>
      </c>
      <c r="B207" s="175" t="s">
        <v>875</v>
      </c>
      <c r="C207" s="175" t="s">
        <v>875</v>
      </c>
      <c r="D207" s="292" t="s">
        <v>865</v>
      </c>
      <c r="E207" s="305" t="str">
        <f t="shared" si="7"/>
        <v>ГОСТ 12815-80: Исполн. 7</v>
      </c>
    </row>
    <row r="208" spans="1:5">
      <c r="A208" s="1" t="str">
        <f t="shared" ca="1" si="6"/>
        <v>ГОСТ 12815-80: Исполн. 8</v>
      </c>
      <c r="B208" s="175" t="s">
        <v>876</v>
      </c>
      <c r="C208" s="175" t="s">
        <v>876</v>
      </c>
      <c r="D208" s="292" t="s">
        <v>866</v>
      </c>
      <c r="E208" s="305" t="str">
        <f t="shared" si="7"/>
        <v>ГОСТ 12815-80: Исполн. 8</v>
      </c>
    </row>
    <row r="209" spans="1:5">
      <c r="A209" s="1" t="str">
        <f t="shared" ca="1" si="6"/>
        <v>ГОСТ 12815-80: Исполн. 9</v>
      </c>
      <c r="B209" s="175" t="s">
        <v>877</v>
      </c>
      <c r="C209" s="175" t="s">
        <v>877</v>
      </c>
      <c r="D209" s="292" t="s">
        <v>867</v>
      </c>
      <c r="E209" s="305" t="str">
        <f t="shared" si="7"/>
        <v>ГОСТ 12815-80: Исполн. 9</v>
      </c>
    </row>
    <row r="210" spans="1:5">
      <c r="A210" s="1">
        <f t="shared" ca="1" si="6"/>
        <v>0</v>
      </c>
      <c r="D210" s="292"/>
      <c r="E210" s="305">
        <f t="shared" si="7"/>
        <v>0</v>
      </c>
    </row>
    <row r="211" spans="1:5">
      <c r="A211" s="1" t="str">
        <f t="shared" ca="1" si="6"/>
        <v>Ряд 1</v>
      </c>
      <c r="B211" s="66" t="s">
        <v>878</v>
      </c>
      <c r="C211" s="66" t="s">
        <v>878</v>
      </c>
      <c r="D211" s="292" t="s">
        <v>880</v>
      </c>
      <c r="E211" s="305" t="str">
        <f t="shared" si="7"/>
        <v>Ряд 1</v>
      </c>
    </row>
    <row r="212" spans="1:5">
      <c r="A212" s="1" t="str">
        <f t="shared" ca="1" si="6"/>
        <v>Ряд 2</v>
      </c>
      <c r="B212" s="66" t="s">
        <v>879</v>
      </c>
      <c r="C212" s="66" t="s">
        <v>879</v>
      </c>
      <c r="D212" s="292" t="s">
        <v>868</v>
      </c>
      <c r="E212" s="305" t="str">
        <f t="shared" si="7"/>
        <v>Ряд 2</v>
      </c>
    </row>
    <row r="213" spans="1:5">
      <c r="A213" s="1">
        <f t="shared" ca="1" si="6"/>
        <v>0</v>
      </c>
      <c r="D213" s="292"/>
      <c r="E213" s="305">
        <f t="shared" si="7"/>
        <v>0</v>
      </c>
    </row>
    <row r="214" spans="1:5">
      <c r="A214" s="1" t="str">
        <f t="shared" ca="1" si="6"/>
        <v>шлифование</v>
      </c>
      <c r="B214" s="66" t="s">
        <v>440</v>
      </c>
      <c r="C214" s="66" t="s">
        <v>440</v>
      </c>
      <c r="D214" s="292" t="s">
        <v>583</v>
      </c>
      <c r="E214" s="305" t="str">
        <f t="shared" si="7"/>
        <v>шлифование</v>
      </c>
    </row>
    <row r="215" spans="1:5">
      <c r="A215" s="1" t="str">
        <f t="shared" ca="1" si="6"/>
        <v>полировка</v>
      </c>
      <c r="B215" s="66" t="s">
        <v>441</v>
      </c>
      <c r="C215" s="66" t="s">
        <v>441</v>
      </c>
      <c r="D215" s="292" t="s">
        <v>584</v>
      </c>
      <c r="E215" s="305" t="str">
        <f t="shared" si="7"/>
        <v>полировка</v>
      </c>
    </row>
    <row r="216" spans="1:5">
      <c r="A216" s="1">
        <f t="shared" ca="1" si="6"/>
        <v>0</v>
      </c>
      <c r="D216" s="292"/>
      <c r="E216" s="305">
        <f t="shared" si="7"/>
        <v>0</v>
      </c>
    </row>
    <row r="217" spans="1:5">
      <c r="A217" s="1" t="str">
        <f t="shared" ca="1" si="6"/>
        <v>Другой</v>
      </c>
      <c r="B217" s="66" t="s">
        <v>240</v>
      </c>
      <c r="C217" s="66" t="s">
        <v>241</v>
      </c>
      <c r="D217" s="292" t="s">
        <v>588</v>
      </c>
      <c r="E217" s="305" t="str">
        <f t="shared" si="7"/>
        <v>Другой</v>
      </c>
    </row>
    <row r="218" spans="1:5">
      <c r="A218" s="1">
        <f t="shared" ca="1" si="6"/>
        <v>0</v>
      </c>
      <c r="D218" s="296"/>
      <c r="E218" s="305">
        <f t="shared" si="7"/>
        <v>0</v>
      </c>
    </row>
    <row r="219" spans="1:5">
      <c r="A219" s="1" t="str">
        <f t="shared" ca="1" si="6"/>
        <v>Угл. сталь (-25/+280°С)</v>
      </c>
      <c r="B219" s="66" t="s">
        <v>238</v>
      </c>
      <c r="C219" s="66" t="s">
        <v>238</v>
      </c>
      <c r="D219" s="292" t="s">
        <v>837</v>
      </c>
      <c r="E219" s="305" t="str">
        <f t="shared" si="7"/>
        <v>Угл. сталь (-25/+280°С)</v>
      </c>
    </row>
    <row r="220" spans="1:5">
      <c r="A220" s="1" t="str">
        <f t="shared" ca="1" si="6"/>
        <v>Низ.темп. угл. сталь (-46/+280°С)</v>
      </c>
      <c r="B220" s="66" t="s">
        <v>239</v>
      </c>
      <c r="C220" s="66" t="s">
        <v>239</v>
      </c>
      <c r="D220" s="292" t="s">
        <v>838</v>
      </c>
      <c r="E220" s="305" t="str">
        <f t="shared" si="7"/>
        <v>Низ.темп. угл. сталь (-46/+280°С)</v>
      </c>
    </row>
    <row r="221" spans="1:5">
      <c r="A221" s="1" t="str">
        <f t="shared" ca="1" si="6"/>
        <v>Нерж. Сталь (-194/+280°С)</v>
      </c>
      <c r="B221" s="66" t="s">
        <v>162</v>
      </c>
      <c r="C221" s="66" t="s">
        <v>162</v>
      </c>
      <c r="D221" s="292" t="s">
        <v>839</v>
      </c>
      <c r="E221" s="305" t="str">
        <f t="shared" si="7"/>
        <v>Нерж. Сталь (-194/+280°С)</v>
      </c>
    </row>
    <row r="222" spans="1:5">
      <c r="A222" s="1" t="str">
        <f t="shared" ca="1" si="6"/>
        <v>Дуплекс</v>
      </c>
      <c r="B222" s="66" t="s">
        <v>212</v>
      </c>
      <c r="C222" s="66" t="s">
        <v>212</v>
      </c>
      <c r="D222" s="292" t="s">
        <v>586</v>
      </c>
      <c r="E222" s="305" t="str">
        <f t="shared" si="7"/>
        <v>Дуплекс</v>
      </c>
    </row>
    <row r="223" spans="1:5">
      <c r="A223" s="1" t="str">
        <f t="shared" ca="1" si="6"/>
        <v>Другой</v>
      </c>
      <c r="B223" s="66" t="s">
        <v>240</v>
      </c>
      <c r="C223" s="66" t="s">
        <v>241</v>
      </c>
      <c r="D223" s="292" t="s">
        <v>588</v>
      </c>
      <c r="E223" s="305" t="str">
        <f t="shared" si="7"/>
        <v>Другой</v>
      </c>
    </row>
    <row r="224" spans="1:5">
      <c r="A224" s="1">
        <f t="shared" ca="1" si="6"/>
        <v>0</v>
      </c>
      <c r="D224" s="292"/>
      <c r="E224" s="305">
        <f t="shared" si="7"/>
        <v>0</v>
      </c>
    </row>
    <row r="225" spans="1:5">
      <c r="A225" s="1" t="str">
        <f t="shared" ca="1" si="6"/>
        <v>Алюминий</v>
      </c>
      <c r="B225" s="66" t="s">
        <v>161</v>
      </c>
      <c r="C225" s="66" t="s">
        <v>161</v>
      </c>
      <c r="D225" s="292" t="s">
        <v>587</v>
      </c>
      <c r="E225" s="305" t="str">
        <f t="shared" si="7"/>
        <v>Алюминий</v>
      </c>
    </row>
    <row r="226" spans="1:5" ht="15" customHeight="1">
      <c r="A226" s="1" t="str">
        <f t="shared" ca="1" si="6"/>
        <v>Нержавеющая сталь</v>
      </c>
      <c r="B226" s="66" t="s">
        <v>162</v>
      </c>
      <c r="C226" s="66" t="s">
        <v>162</v>
      </c>
      <c r="D226" s="292" t="s">
        <v>585</v>
      </c>
      <c r="E226" s="305" t="str">
        <f t="shared" si="7"/>
        <v>Нержавеющая сталь</v>
      </c>
    </row>
    <row r="227" spans="1:5" ht="15" customHeight="1">
      <c r="A227" s="1">
        <f t="shared" ca="1" si="6"/>
        <v>0</v>
      </c>
      <c r="D227" s="292"/>
      <c r="E227" s="305">
        <f t="shared" si="7"/>
        <v>0</v>
      </c>
    </row>
    <row r="228" spans="1:5" ht="15" customHeight="1">
      <c r="A228" s="1" t="str">
        <f t="shared" ca="1" si="6"/>
        <v>Приемка</v>
      </c>
      <c r="B228" s="1" t="s">
        <v>231</v>
      </c>
      <c r="C228" s="1" t="s">
        <v>231</v>
      </c>
      <c r="D228" s="294" t="s">
        <v>1142</v>
      </c>
      <c r="E228" s="305" t="str">
        <f t="shared" si="7"/>
        <v>Приемка</v>
      </c>
    </row>
    <row r="229" spans="1:5" ht="15" customHeight="1">
      <c r="A229" s="1">
        <f t="shared" ca="1" si="6"/>
        <v>0</v>
      </c>
      <c r="B229" s="1"/>
      <c r="C229" s="1"/>
      <c r="D229" s="292"/>
      <c r="E229" s="305">
        <f t="shared" si="7"/>
        <v>0</v>
      </c>
    </row>
    <row r="230" spans="1:5" ht="15" customHeight="1">
      <c r="A230" s="1" t="str">
        <f t="shared" ca="1" si="6"/>
        <v>5%, 10%, 25%, 40%, 70%, 100%</v>
      </c>
      <c r="B230" s="72" t="s">
        <v>1042</v>
      </c>
      <c r="C230" s="72" t="s">
        <v>1042</v>
      </c>
      <c r="D230" s="298" t="s">
        <v>1042</v>
      </c>
      <c r="E230" s="305" t="str">
        <f t="shared" si="7"/>
        <v>5%, 10%, 25%, 40%, 70%, 100%</v>
      </c>
    </row>
    <row r="231" spans="1:5" ht="15" customHeight="1">
      <c r="A231" s="1" t="str">
        <f t="shared" ca="1" si="6"/>
        <v>3%, 5%, 10%, 25%, 40%, 70%, 100%</v>
      </c>
      <c r="B231" s="72" t="s">
        <v>1043</v>
      </c>
      <c r="C231" s="72" t="s">
        <v>1043</v>
      </c>
      <c r="D231" s="298" t="s">
        <v>1043</v>
      </c>
      <c r="E231" s="305" t="str">
        <f t="shared" si="7"/>
        <v>3%, 5%, 10%, 25%, 40%, 70%, 100%</v>
      </c>
    </row>
    <row r="232" spans="1:5" ht="15" customHeight="1">
      <c r="A232" s="1" t="str">
        <f t="shared" ca="1" si="6"/>
        <v>2%, 5%, 15%, 25%, 40%, 70%, 100%</v>
      </c>
      <c r="B232" s="72" t="s">
        <v>1044</v>
      </c>
      <c r="C232" s="72" t="s">
        <v>1044</v>
      </c>
      <c r="D232" s="298" t="s">
        <v>1044</v>
      </c>
      <c r="E232" s="305" t="str">
        <f t="shared" si="7"/>
        <v>2%, 5%, 15%, 25%, 40%, 70%, 100%</v>
      </c>
    </row>
    <row r="233" spans="1:5" ht="15" customHeight="1">
      <c r="A233" s="1" t="str">
        <f t="shared" ca="1" si="6"/>
        <v>Qmin,  3%, 5%, 15%, 25%, 40%, 70%, 100%</v>
      </c>
      <c r="B233" s="72" t="s">
        <v>1045</v>
      </c>
      <c r="C233" s="72" t="s">
        <v>1045</v>
      </c>
      <c r="D233" s="298" t="s">
        <v>1045</v>
      </c>
      <c r="E233" s="305" t="str">
        <f t="shared" si="7"/>
        <v>Qmin,  3%, 5%, 15%, 25%, 40%, 70%, 100%</v>
      </c>
    </row>
    <row r="234" spans="1:5" ht="15" customHeight="1">
      <c r="A234" s="1" t="str">
        <f t="shared" ca="1" si="6"/>
        <v>2,5%, 5%, 10%, 25%, 50%, 75%, 100%</v>
      </c>
      <c r="B234" s="72" t="s">
        <v>1046</v>
      </c>
      <c r="C234" s="72" t="s">
        <v>1046</v>
      </c>
      <c r="D234" s="298" t="s">
        <v>1046</v>
      </c>
      <c r="E234" s="305" t="str">
        <f t="shared" si="7"/>
        <v>2,5%, 5%, 10%, 25%, 50%, 75%, 100%</v>
      </c>
    </row>
    <row r="235" spans="1:5" ht="15" customHeight="1">
      <c r="A235" s="1" t="str">
        <f t="shared" ca="1" si="6"/>
        <v>Другой</v>
      </c>
      <c r="B235" s="66" t="s">
        <v>240</v>
      </c>
      <c r="C235" s="66" t="s">
        <v>241</v>
      </c>
      <c r="D235" s="292" t="s">
        <v>588</v>
      </c>
      <c r="E235" s="305" t="str">
        <f t="shared" si="7"/>
        <v>Другой</v>
      </c>
    </row>
    <row r="236" spans="1:5">
      <c r="A236" s="1">
        <f t="shared" ca="1" si="6"/>
        <v>0</v>
      </c>
      <c r="D236" s="292"/>
      <c r="E236" s="305">
        <f t="shared" si="7"/>
        <v>0</v>
      </c>
    </row>
    <row r="237" spans="1:5">
      <c r="A237" s="1" t="str">
        <f t="shared" ca="1" si="6"/>
        <v>Стандарт</v>
      </c>
      <c r="B237" s="66" t="s">
        <v>182</v>
      </c>
      <c r="C237" s="66" t="s">
        <v>182</v>
      </c>
      <c r="D237" s="292" t="s">
        <v>589</v>
      </c>
      <c r="E237" s="305" t="str">
        <f t="shared" si="7"/>
        <v>Стандарт</v>
      </c>
    </row>
    <row r="238" spans="1:5">
      <c r="A238" s="1" t="str">
        <f t="shared" ca="1" si="6"/>
        <v>Описание</v>
      </c>
      <c r="B238" s="66" t="s">
        <v>240</v>
      </c>
      <c r="C238" s="66" t="s">
        <v>241</v>
      </c>
      <c r="D238" s="292" t="s">
        <v>1225</v>
      </c>
      <c r="E238" s="305" t="str">
        <f t="shared" si="7"/>
        <v>Описание</v>
      </c>
    </row>
    <row r="239" spans="1:5">
      <c r="A239" s="1">
        <f t="shared" ca="1" si="6"/>
        <v>0</v>
      </c>
      <c r="D239" s="296"/>
      <c r="E239" s="305">
        <f t="shared" si="7"/>
        <v>0</v>
      </c>
    </row>
    <row r="240" spans="1:5">
      <c r="A240" s="1" t="str">
        <f t="shared" ca="1" si="6"/>
        <v>1/4" резьба NPT  (размер = 3": 1/8" NPT)</v>
      </c>
      <c r="B240" s="68" t="s">
        <v>356</v>
      </c>
      <c r="C240" s="68" t="s">
        <v>356</v>
      </c>
      <c r="D240" s="292" t="s">
        <v>590</v>
      </c>
      <c r="E240" s="305" t="str">
        <f t="shared" si="7"/>
        <v>1/4" резьба NPT  (размер = 3": 1/8" NPT)</v>
      </c>
    </row>
    <row r="241" spans="1:5">
      <c r="A241" s="1" t="str">
        <f t="shared" ca="1" si="6"/>
        <v>1 x 1/4" резьба NPT</v>
      </c>
      <c r="B241" s="68" t="s">
        <v>1104</v>
      </c>
      <c r="C241" s="68" t="s">
        <v>1104</v>
      </c>
      <c r="D241" s="294" t="s">
        <v>1106</v>
      </c>
      <c r="E241" s="305" t="str">
        <f t="shared" si="7"/>
        <v>1 x 1/4" резьба NPT</v>
      </c>
    </row>
    <row r="242" spans="1:5">
      <c r="A242" s="1" t="str">
        <f t="shared" ca="1" si="6"/>
        <v>1 x 1/8" резьба NPT</v>
      </c>
      <c r="B242" s="68" t="s">
        <v>1105</v>
      </c>
      <c r="C242" s="68" t="s">
        <v>1105</v>
      </c>
      <c r="D242" s="294" t="s">
        <v>1107</v>
      </c>
      <c r="E242" s="305" t="str">
        <f t="shared" si="7"/>
        <v>1 x 1/8" резьба NPT</v>
      </c>
    </row>
    <row r="243" spans="1:5">
      <c r="A243" s="1" t="str">
        <f t="shared" ca="1" si="6"/>
        <v>Два слоя: эпоксидный/акриловый; RAL 9002</v>
      </c>
      <c r="B243" s="66" t="s">
        <v>357</v>
      </c>
      <c r="C243" s="66" t="s">
        <v>357</v>
      </c>
      <c r="D243" s="292" t="s">
        <v>1223</v>
      </c>
      <c r="E243" s="305" t="str">
        <f t="shared" si="7"/>
        <v>Два слоя: эпоксидный/акриловый; RAL 9002</v>
      </c>
    </row>
    <row r="244" spans="1:5">
      <c r="A244" s="1" t="str">
        <f t="shared" ca="1" si="6"/>
        <v>Без покрытия для нержавеющей стали или дуплексного материала</v>
      </c>
      <c r="B244" s="66" t="s">
        <v>316</v>
      </c>
      <c r="C244" s="66" t="s">
        <v>316</v>
      </c>
      <c r="D244" s="292" t="s">
        <v>591</v>
      </c>
      <c r="E244" s="305" t="str">
        <f t="shared" si="7"/>
        <v>Без покрытия для нержавеющей стали или дуплексного материала</v>
      </c>
    </row>
    <row r="245" spans="1:5">
      <c r="A245" s="1" t="str">
        <f t="shared" ca="1" si="6"/>
        <v>Два слоя: эпоксидный/акриловый; RAL 9002</v>
      </c>
      <c r="B245" s="66" t="s">
        <v>776</v>
      </c>
      <c r="C245" s="66" t="s">
        <v>776</v>
      </c>
      <c r="D245" s="293" t="s">
        <v>1223</v>
      </c>
      <c r="E245" s="305" t="str">
        <f t="shared" si="7"/>
        <v>Два слоя: эпоксидный/акриловый; RAL 9002</v>
      </c>
    </row>
    <row r="246" spans="1:5">
      <c r="A246" s="1">
        <f t="shared" ca="1" si="6"/>
        <v>0</v>
      </c>
      <c r="D246" s="292"/>
      <c r="E246" s="305">
        <f t="shared" si="7"/>
        <v>0</v>
      </c>
    </row>
    <row r="247" spans="1:5">
      <c r="A247" s="1" t="str">
        <f t="shared" ca="1" si="6"/>
        <v>Метрические</v>
      </c>
      <c r="B247" s="66" t="s">
        <v>185</v>
      </c>
      <c r="C247" s="66" t="s">
        <v>185</v>
      </c>
      <c r="D247" s="292" t="s">
        <v>525</v>
      </c>
      <c r="E247" s="305" t="str">
        <f t="shared" si="7"/>
        <v>Метрические</v>
      </c>
    </row>
    <row r="248" spans="1:5">
      <c r="A248" s="1" t="str">
        <f t="shared" ca="1" si="6"/>
        <v>Английские</v>
      </c>
      <c r="B248" s="66" t="s">
        <v>186</v>
      </c>
      <c r="C248" s="66" t="s">
        <v>186</v>
      </c>
      <c r="D248" s="292" t="s">
        <v>592</v>
      </c>
      <c r="E248" s="305" t="str">
        <f t="shared" si="7"/>
        <v>Английские</v>
      </c>
    </row>
    <row r="249" spans="1:5">
      <c r="A249" s="1">
        <f t="shared" ca="1" si="6"/>
        <v>0</v>
      </c>
      <c r="D249" s="296"/>
      <c r="E249" s="305">
        <f t="shared" si="7"/>
        <v>0</v>
      </c>
    </row>
    <row r="250" spans="1:5">
      <c r="A250" s="1" t="str">
        <f t="shared" ca="1" si="6"/>
        <v>Сухая калибровка (+/- 0,5% - 4 луча; +/-1% - 2 луча)</v>
      </c>
      <c r="B250" s="66" t="s">
        <v>1004</v>
      </c>
      <c r="C250" s="66" t="s">
        <v>1004</v>
      </c>
      <c r="D250" s="294" t="s">
        <v>1210</v>
      </c>
      <c r="E250" s="305" t="str">
        <f t="shared" si="7"/>
        <v>Сухая калибровка (+/- 0,5% - 4 луча; +/-1% - 2 луча)</v>
      </c>
    </row>
    <row r="251" spans="1:5">
      <c r="A251" s="1" t="str">
        <f t="shared" ca="1" si="6"/>
        <v>Проливка воздухом 1 атм. (+/-0,5%; 4 луча)</v>
      </c>
      <c r="B251" s="66" t="s">
        <v>1005</v>
      </c>
      <c r="C251" s="66" t="s">
        <v>1005</v>
      </c>
      <c r="D251" s="294" t="s">
        <v>1236</v>
      </c>
      <c r="E251" s="305" t="str">
        <f t="shared" si="7"/>
        <v>Проливка воздухом 1 атм. (+/-0,5%; 4 луча)</v>
      </c>
    </row>
    <row r="252" spans="1:5">
      <c r="A252" s="1" t="str">
        <f t="shared" ca="1" si="6"/>
        <v xml:space="preserve"> </v>
      </c>
      <c r="B252" s="66" t="s">
        <v>643</v>
      </c>
      <c r="C252" s="66" t="s">
        <v>643</v>
      </c>
      <c r="D252" s="76" t="s">
        <v>132</v>
      </c>
      <c r="E252" s="305" t="str">
        <f t="shared" si="7"/>
        <v xml:space="preserve"> </v>
      </c>
    </row>
    <row r="253" spans="1:5">
      <c r="A253" s="1" t="str">
        <f t="shared" ca="1" si="6"/>
        <v>Проливка природным газом (+/-0,3%; 4 луча )</v>
      </c>
      <c r="B253" s="66" t="s">
        <v>644</v>
      </c>
      <c r="C253" s="66" t="s">
        <v>644</v>
      </c>
      <c r="D253" s="294" t="s">
        <v>1237</v>
      </c>
      <c r="E253" s="305" t="str">
        <f t="shared" si="7"/>
        <v>Проливка природным газом (+/-0,3%; 4 луча )</v>
      </c>
    </row>
    <row r="254" spans="1:5">
      <c r="A254" s="1" t="str">
        <f t="shared" ca="1" si="6"/>
        <v xml:space="preserve"> </v>
      </c>
      <c r="B254" s="221" t="s">
        <v>1008</v>
      </c>
      <c r="C254" s="221" t="s">
        <v>1008</v>
      </c>
      <c r="D254" s="76" t="s">
        <v>132</v>
      </c>
      <c r="E254" s="305" t="str">
        <f t="shared" si="7"/>
        <v xml:space="preserve"> </v>
      </c>
    </row>
    <row r="255" spans="1:5">
      <c r="A255" s="1" t="str">
        <f t="shared" ca="1" si="6"/>
        <v>Специальная</v>
      </c>
      <c r="B255" s="66" t="s">
        <v>240</v>
      </c>
      <c r="C255" s="66" t="s">
        <v>241</v>
      </c>
      <c r="D255" s="292" t="s">
        <v>1238</v>
      </c>
      <c r="E255" s="305" t="str">
        <f t="shared" si="7"/>
        <v>Специальная</v>
      </c>
    </row>
    <row r="256" spans="1:5">
      <c r="A256" s="1">
        <f t="shared" ca="1" si="6"/>
        <v>0</v>
      </c>
      <c r="D256" s="292"/>
      <c r="E256" s="305">
        <f t="shared" si="7"/>
        <v>0</v>
      </c>
    </row>
    <row r="257" spans="1:5">
      <c r="A257" s="1" t="str">
        <f t="shared" ca="1" si="6"/>
        <v>Воздух</v>
      </c>
      <c r="B257" s="66" t="s">
        <v>244</v>
      </c>
      <c r="C257" s="66" t="s">
        <v>244</v>
      </c>
      <c r="D257" s="292" t="s">
        <v>558</v>
      </c>
      <c r="E257" s="305" t="str">
        <f t="shared" si="7"/>
        <v>Воздух</v>
      </c>
    </row>
    <row r="258" spans="1:5">
      <c r="A258" s="1" t="str">
        <f t="shared" ref="A258:A321" ca="1" si="8">HLOOKUP(langchoose,LangMatrix,ROW(),0)</f>
        <v>Другой</v>
      </c>
      <c r="B258" s="66" t="s">
        <v>399</v>
      </c>
      <c r="C258" s="66" t="s">
        <v>399</v>
      </c>
      <c r="D258" s="293" t="s">
        <v>588</v>
      </c>
      <c r="E258" s="305" t="str">
        <f t="shared" si="7"/>
        <v>Другой</v>
      </c>
    </row>
    <row r="259" spans="1:5">
      <c r="A259" s="1" t="str">
        <f t="shared" ca="1" si="8"/>
        <v>Пожалуйста, укажите</v>
      </c>
      <c r="B259" s="66" t="s">
        <v>326</v>
      </c>
      <c r="C259" s="66" t="s">
        <v>326</v>
      </c>
      <c r="D259" s="293" t="s">
        <v>1211</v>
      </c>
      <c r="E259" s="305" t="str">
        <f t="shared" ref="E259:E322" si="9">D259</f>
        <v>Пожалуйста, укажите</v>
      </c>
    </row>
    <row r="260" spans="1:5">
      <c r="A260" s="1">
        <f t="shared" ca="1" si="8"/>
        <v>0</v>
      </c>
      <c r="D260" s="292"/>
      <c r="E260" s="305">
        <f t="shared" si="9"/>
        <v>0</v>
      </c>
    </row>
    <row r="261" spans="1:5">
      <c r="A261" s="1">
        <f t="shared" ca="1" si="8"/>
        <v>0</v>
      </c>
      <c r="D261" s="292"/>
      <c r="E261" s="305">
        <f t="shared" si="9"/>
        <v>0</v>
      </c>
    </row>
    <row r="262" spans="1:5">
      <c r="A262" s="1" t="str">
        <f t="shared" ca="1" si="8"/>
        <v>Нет</v>
      </c>
      <c r="B262" s="66" t="s">
        <v>196</v>
      </c>
      <c r="C262" s="66" t="s">
        <v>196</v>
      </c>
      <c r="D262" s="292" t="s">
        <v>528</v>
      </c>
      <c r="E262" s="305" t="str">
        <f t="shared" si="9"/>
        <v>Нет</v>
      </c>
    </row>
    <row r="263" spans="1:5" ht="15">
      <c r="A263" s="1" t="str">
        <f t="shared" ca="1" si="8"/>
        <v>-</v>
      </c>
      <c r="B263" s="222" t="s">
        <v>1008</v>
      </c>
      <c r="C263" s="222" t="s">
        <v>1008</v>
      </c>
      <c r="D263" s="76" t="s">
        <v>1143</v>
      </c>
      <c r="E263" s="305" t="str">
        <f t="shared" si="9"/>
        <v>-</v>
      </c>
    </row>
    <row r="264" spans="1:5" ht="15">
      <c r="A264" s="1" t="str">
        <f t="shared" ca="1" si="8"/>
        <v>Технологический учет</v>
      </c>
      <c r="B264" s="222" t="s">
        <v>1009</v>
      </c>
      <c r="C264" s="222" t="s">
        <v>1009</v>
      </c>
      <c r="D264" s="307" t="s">
        <v>1144</v>
      </c>
      <c r="E264" s="305" t="str">
        <f t="shared" si="9"/>
        <v>Технологический учет</v>
      </c>
    </row>
    <row r="265" spans="1:5">
      <c r="A265" s="1" t="str">
        <f t="shared" ca="1" si="8"/>
        <v>AGA</v>
      </c>
      <c r="B265" s="66" t="s">
        <v>331</v>
      </c>
      <c r="C265" s="66" t="s">
        <v>331</v>
      </c>
      <c r="D265" s="292" t="s">
        <v>331</v>
      </c>
      <c r="E265" s="305" t="str">
        <f t="shared" si="9"/>
        <v>AGA</v>
      </c>
    </row>
    <row r="266" spans="1:5">
      <c r="A266" s="1" t="str">
        <f t="shared" ca="1" si="8"/>
        <v>Алжир</v>
      </c>
      <c r="B266" s="177" t="s">
        <v>1010</v>
      </c>
      <c r="C266" s="177" t="s">
        <v>1010</v>
      </c>
      <c r="D266" s="307" t="s">
        <v>1145</v>
      </c>
      <c r="E266" s="305" t="str">
        <f t="shared" si="9"/>
        <v>Алжир</v>
      </c>
    </row>
    <row r="267" spans="1:5">
      <c r="A267" s="1" t="str">
        <f t="shared" ca="1" si="8"/>
        <v>Австрия - BEV</v>
      </c>
      <c r="B267" s="66" t="s">
        <v>340</v>
      </c>
      <c r="C267" s="66" t="s">
        <v>340</v>
      </c>
      <c r="D267" s="292" t="s">
        <v>600</v>
      </c>
      <c r="E267" s="305" t="str">
        <f t="shared" si="9"/>
        <v>Австрия - BEV</v>
      </c>
    </row>
    <row r="268" spans="1:5" ht="15">
      <c r="A268" s="1" t="str">
        <f t="shared" ca="1" si="8"/>
        <v xml:space="preserve">Беларусь </v>
      </c>
      <c r="B268" s="222" t="s">
        <v>1011</v>
      </c>
      <c r="C268" s="222" t="s">
        <v>1011</v>
      </c>
      <c r="D268" s="307" t="s">
        <v>1146</v>
      </c>
      <c r="E268" s="305" t="str">
        <f t="shared" si="9"/>
        <v xml:space="preserve">Беларусь </v>
      </c>
    </row>
    <row r="269" spans="1:5">
      <c r="A269" s="1" t="str">
        <f t="shared" ca="1" si="8"/>
        <v>Бразилия - IMM</v>
      </c>
      <c r="B269" s="66" t="s">
        <v>335</v>
      </c>
      <c r="C269" s="66" t="s">
        <v>335</v>
      </c>
      <c r="D269" s="292" t="s">
        <v>593</v>
      </c>
      <c r="E269" s="305" t="str">
        <f t="shared" si="9"/>
        <v>Бразилия - IMM</v>
      </c>
    </row>
    <row r="270" spans="1:5">
      <c r="A270" s="1" t="str">
        <f t="shared" ca="1" si="8"/>
        <v>Канада - MSC</v>
      </c>
      <c r="B270" s="66" t="s">
        <v>338</v>
      </c>
      <c r="C270" s="66" t="s">
        <v>338</v>
      </c>
      <c r="D270" s="292" t="s">
        <v>597</v>
      </c>
      <c r="E270" s="305" t="str">
        <f t="shared" si="9"/>
        <v>Канада - MSC</v>
      </c>
    </row>
    <row r="271" spans="1:5">
      <c r="A271" s="1" t="str">
        <f t="shared" ca="1" si="8"/>
        <v>Китай - PRC</v>
      </c>
      <c r="B271" s="66" t="s">
        <v>332</v>
      </c>
      <c r="C271" s="66" t="s">
        <v>332</v>
      </c>
      <c r="D271" s="292" t="s">
        <v>594</v>
      </c>
      <c r="E271" s="305" t="str">
        <f t="shared" si="9"/>
        <v>Китай - PRC</v>
      </c>
    </row>
    <row r="272" spans="1:5">
      <c r="A272" s="1" t="str">
        <f t="shared" ca="1" si="8"/>
        <v>Хорватия</v>
      </c>
      <c r="B272" t="s">
        <v>1012</v>
      </c>
      <c r="C272" t="s">
        <v>1012</v>
      </c>
      <c r="D272" s="307" t="s">
        <v>1147</v>
      </c>
      <c r="E272" s="305" t="str">
        <f t="shared" si="9"/>
        <v>Хорватия</v>
      </c>
    </row>
    <row r="273" spans="1:5">
      <c r="A273" s="1" t="str">
        <f t="shared" ca="1" si="8"/>
        <v>Чехия - CMI</v>
      </c>
      <c r="B273" s="66" t="s">
        <v>344</v>
      </c>
      <c r="C273" s="66" t="s">
        <v>344</v>
      </c>
      <c r="D273" s="292" t="s">
        <v>605</v>
      </c>
      <c r="E273" s="305" t="str">
        <f t="shared" si="9"/>
        <v>Чехия - CMI</v>
      </c>
    </row>
    <row r="274" spans="1:5">
      <c r="A274" s="1" t="str">
        <f t="shared" ca="1" si="8"/>
        <v>Дания</v>
      </c>
      <c r="B274" t="s">
        <v>1013</v>
      </c>
      <c r="C274" t="s">
        <v>1013</v>
      </c>
      <c r="D274" s="307" t="s">
        <v>1148</v>
      </c>
      <c r="E274" s="305" t="str">
        <f t="shared" si="9"/>
        <v>Дания</v>
      </c>
    </row>
    <row r="275" spans="1:5">
      <c r="A275" s="1" t="str">
        <f t="shared" ca="1" si="8"/>
        <v>Египет</v>
      </c>
      <c r="B275" t="s">
        <v>1014</v>
      </c>
      <c r="C275" t="s">
        <v>1014</v>
      </c>
      <c r="D275" s="307" t="s">
        <v>1149</v>
      </c>
      <c r="E275" s="305" t="str">
        <f t="shared" si="9"/>
        <v>Египет</v>
      </c>
    </row>
    <row r="276" spans="1:5">
      <c r="A276" s="1" t="str">
        <f t="shared" ca="1" si="8"/>
        <v>Европа - MID</v>
      </c>
      <c r="B276" s="66" t="s">
        <v>1006</v>
      </c>
      <c r="C276" s="66" t="s">
        <v>1006</v>
      </c>
      <c r="D276" s="308" t="s">
        <v>1150</v>
      </c>
      <c r="E276" s="305" t="str">
        <f t="shared" si="9"/>
        <v>Европа - MID</v>
      </c>
    </row>
    <row r="277" spans="1:5">
      <c r="A277" s="1" t="str">
        <f t="shared" ca="1" si="8"/>
        <v>Германия - PTB</v>
      </c>
      <c r="B277" s="66" t="s">
        <v>336</v>
      </c>
      <c r="C277" s="66" t="s">
        <v>336</v>
      </c>
      <c r="D277" s="292" t="s">
        <v>595</v>
      </c>
      <c r="E277" s="305" t="str">
        <f t="shared" si="9"/>
        <v>Германия - PTB</v>
      </c>
    </row>
    <row r="278" spans="1:5">
      <c r="A278" s="1" t="str">
        <f t="shared" ca="1" si="8"/>
        <v>Индонезия - MIG</v>
      </c>
      <c r="B278" s="66" t="s">
        <v>337</v>
      </c>
      <c r="C278" s="66" t="s">
        <v>337</v>
      </c>
      <c r="D278" s="292" t="s">
        <v>596</v>
      </c>
      <c r="E278" s="305" t="str">
        <f t="shared" si="9"/>
        <v>Индонезия - MIG</v>
      </c>
    </row>
    <row r="279" spans="1:5">
      <c r="A279" s="1" t="str">
        <f t="shared" ca="1" si="8"/>
        <v>Италия</v>
      </c>
      <c r="B279" t="s">
        <v>1015</v>
      </c>
      <c r="C279" t="s">
        <v>1015</v>
      </c>
      <c r="D279" s="307" t="s">
        <v>1209</v>
      </c>
      <c r="E279" s="305" t="str">
        <f t="shared" si="9"/>
        <v>Италия</v>
      </c>
    </row>
    <row r="280" spans="1:5">
      <c r="A280" s="1" t="str">
        <f t="shared" ca="1" si="8"/>
        <v>Малайзия - SIR</v>
      </c>
      <c r="B280" s="66" t="s">
        <v>333</v>
      </c>
      <c r="C280" s="66" t="s">
        <v>333</v>
      </c>
      <c r="D280" s="292" t="s">
        <v>598</v>
      </c>
      <c r="E280" s="305" t="str">
        <f t="shared" si="9"/>
        <v>Малайзия - SIR</v>
      </c>
    </row>
    <row r="281" spans="1:5">
      <c r="A281" s="1" t="str">
        <f t="shared" ca="1" si="8"/>
        <v>Нидерланды - NMI</v>
      </c>
      <c r="B281" s="66" t="s">
        <v>339</v>
      </c>
      <c r="C281" s="66" t="s">
        <v>339</v>
      </c>
      <c r="D281" s="292" t="s">
        <v>599</v>
      </c>
      <c r="E281" s="305" t="str">
        <f t="shared" si="9"/>
        <v>Нидерланды - NMI</v>
      </c>
    </row>
    <row r="282" spans="1:5">
      <c r="A282" s="1" t="str">
        <f t="shared" ca="1" si="8"/>
        <v>Норвегия</v>
      </c>
      <c r="B282" t="s">
        <v>1016</v>
      </c>
      <c r="C282" t="s">
        <v>1016</v>
      </c>
      <c r="D282" s="307" t="s">
        <v>1151</v>
      </c>
      <c r="E282" s="305" t="str">
        <f t="shared" si="9"/>
        <v>Норвегия</v>
      </c>
    </row>
    <row r="283" spans="1:5">
      <c r="A283" s="1" t="str">
        <f t="shared" ca="1" si="8"/>
        <v>Оман</v>
      </c>
      <c r="B283" t="s">
        <v>1017</v>
      </c>
      <c r="C283" t="s">
        <v>1017</v>
      </c>
      <c r="D283" s="307" t="s">
        <v>1152</v>
      </c>
      <c r="E283" s="305" t="str">
        <f t="shared" si="9"/>
        <v>Оман</v>
      </c>
    </row>
    <row r="284" spans="1:5">
      <c r="A284" s="1" t="str">
        <f t="shared" ca="1" si="8"/>
        <v>Румыния - BRM</v>
      </c>
      <c r="B284" s="66" t="s">
        <v>341</v>
      </c>
      <c r="C284" s="66" t="s">
        <v>341</v>
      </c>
      <c r="D284" s="292" t="s">
        <v>601</v>
      </c>
      <c r="E284" s="305" t="str">
        <f t="shared" si="9"/>
        <v>Румыния - BRM</v>
      </c>
    </row>
    <row r="285" spans="1:5">
      <c r="A285" s="1" t="str">
        <f t="shared" ca="1" si="8"/>
        <v>Россия - ГОСТ</v>
      </c>
      <c r="B285" s="66" t="s">
        <v>1018</v>
      </c>
      <c r="C285" s="66" t="s">
        <v>1018</v>
      </c>
      <c r="D285" s="292" t="s">
        <v>602</v>
      </c>
      <c r="E285" s="305" t="str">
        <f t="shared" si="9"/>
        <v>Россия - ГОСТ</v>
      </c>
    </row>
    <row r="286" spans="1:5">
      <c r="A286" s="1" t="str">
        <f t="shared" ca="1" si="8"/>
        <v>Суадовская Арабия</v>
      </c>
      <c r="B286" t="s">
        <v>1019</v>
      </c>
      <c r="C286" t="s">
        <v>1019</v>
      </c>
      <c r="D286" s="307" t="s">
        <v>1153</v>
      </c>
      <c r="E286" s="305" t="str">
        <f t="shared" si="9"/>
        <v>Суадовская Арабия</v>
      </c>
    </row>
    <row r="287" spans="1:5">
      <c r="A287" s="1" t="str">
        <f t="shared" ca="1" si="8"/>
        <v>Сербия - SEB</v>
      </c>
      <c r="B287" s="66" t="s">
        <v>343</v>
      </c>
      <c r="C287" s="66" t="s">
        <v>343</v>
      </c>
      <c r="D287" s="292" t="s">
        <v>604</v>
      </c>
      <c r="E287" s="305" t="str">
        <f t="shared" si="9"/>
        <v>Сербия - SEB</v>
      </c>
    </row>
    <row r="288" spans="1:5">
      <c r="A288" s="1" t="str">
        <f t="shared" ca="1" si="8"/>
        <v>Испания</v>
      </c>
      <c r="B288" t="s">
        <v>1020</v>
      </c>
      <c r="C288" t="s">
        <v>1020</v>
      </c>
      <c r="D288" s="307" t="s">
        <v>1154</v>
      </c>
      <c r="E288" s="305" t="str">
        <f t="shared" si="9"/>
        <v>Испания</v>
      </c>
    </row>
    <row r="289" spans="1:11">
      <c r="A289" s="1" t="str">
        <f t="shared" ca="1" si="8"/>
        <v>Швейцария - MET</v>
      </c>
      <c r="B289" s="66" t="s">
        <v>342</v>
      </c>
      <c r="C289" s="66" t="s">
        <v>342</v>
      </c>
      <c r="D289" s="292" t="s">
        <v>603</v>
      </c>
      <c r="E289" s="305" t="str">
        <f t="shared" si="9"/>
        <v>Швейцария - MET</v>
      </c>
    </row>
    <row r="290" spans="1:11">
      <c r="A290" s="1" t="str">
        <f t="shared" ca="1" si="8"/>
        <v>Украина - UKR</v>
      </c>
      <c r="B290" s="66" t="s">
        <v>334</v>
      </c>
      <c r="C290" s="66" t="s">
        <v>334</v>
      </c>
      <c r="D290" s="292" t="s">
        <v>606</v>
      </c>
      <c r="E290" s="305" t="str">
        <f t="shared" si="9"/>
        <v>Украина - UKR</v>
      </c>
    </row>
    <row r="291" spans="1:11">
      <c r="A291" s="1">
        <f t="shared" ca="1" si="8"/>
        <v>0</v>
      </c>
      <c r="D291" s="296"/>
      <c r="E291" s="305">
        <f t="shared" si="9"/>
        <v>0</v>
      </c>
    </row>
    <row r="292" spans="1:11" s="70" customFormat="1">
      <c r="A292" s="1" t="str">
        <f t="shared" ca="1" si="8"/>
        <v>Стр. 3</v>
      </c>
      <c r="B292" s="66" t="s">
        <v>443</v>
      </c>
      <c r="C292" s="66" t="s">
        <v>443</v>
      </c>
      <c r="D292" s="292" t="s">
        <v>607</v>
      </c>
      <c r="E292" s="305" t="str">
        <f t="shared" si="9"/>
        <v>Стр. 3</v>
      </c>
      <c r="G292" s="66"/>
      <c r="H292" s="66"/>
      <c r="I292" s="66"/>
      <c r="J292" s="66"/>
      <c r="K292" s="66"/>
    </row>
    <row r="293" spans="1:11">
      <c r="A293" s="1" t="str">
        <f t="shared" ca="1" si="8"/>
        <v>Конфигурация (вх./вых.)</v>
      </c>
      <c r="B293" s="66" t="s">
        <v>1109</v>
      </c>
      <c r="C293" s="66" t="s">
        <v>1109</v>
      </c>
      <c r="D293" s="294" t="s">
        <v>608</v>
      </c>
      <c r="E293" s="305" t="str">
        <f t="shared" si="9"/>
        <v>Конфигурация (вх./вых.)</v>
      </c>
    </row>
    <row r="294" spans="1:11" s="70" customFormat="1">
      <c r="A294" s="1" t="str">
        <f t="shared" ca="1" si="8"/>
        <v>Вес импульса</v>
      </c>
      <c r="B294" s="66" t="s">
        <v>327</v>
      </c>
      <c r="C294" s="66" t="s">
        <v>327</v>
      </c>
      <c r="D294" s="293" t="s">
        <v>912</v>
      </c>
      <c r="E294" s="305" t="str">
        <f t="shared" si="9"/>
        <v>Вес импульса</v>
      </c>
      <c r="G294" s="66"/>
      <c r="H294" s="66"/>
      <c r="I294" s="66"/>
      <c r="J294" s="66"/>
      <c r="K294" s="66"/>
    </row>
    <row r="295" spans="1:11">
      <c r="A295" s="1" t="str">
        <f t="shared" ca="1" si="8"/>
        <v>Вх./Вых.</v>
      </c>
      <c r="B295" s="66" t="s">
        <v>645</v>
      </c>
      <c r="C295" s="66" t="s">
        <v>645</v>
      </c>
      <c r="D295" s="292" t="s">
        <v>646</v>
      </c>
      <c r="E295" s="305" t="str">
        <f t="shared" si="9"/>
        <v>Вх./Вых.</v>
      </c>
    </row>
    <row r="296" spans="1:11">
      <c r="A296" s="1" t="str">
        <f ca="1">HLOOKUP(langchoose,LangMatrix,ROW(),0)</f>
        <v>Статус</v>
      </c>
      <c r="B296" s="66" t="s">
        <v>197</v>
      </c>
      <c r="C296" s="66" t="s">
        <v>197</v>
      </c>
      <c r="D296" s="292" t="s">
        <v>609</v>
      </c>
      <c r="E296" s="305" t="str">
        <f t="shared" si="9"/>
        <v>Статус</v>
      </c>
    </row>
    <row r="297" spans="1:11">
      <c r="A297" s="1" t="str">
        <f t="shared" ca="1" si="8"/>
        <v>Импульс</v>
      </c>
      <c r="B297" s="66" t="s">
        <v>178</v>
      </c>
      <c r="C297" s="66" t="s">
        <v>178</v>
      </c>
      <c r="D297" s="292" t="s">
        <v>610</v>
      </c>
      <c r="E297" s="305" t="str">
        <f t="shared" si="9"/>
        <v>Импульс</v>
      </c>
    </row>
    <row r="298" spans="1:11">
      <c r="A298" s="1" t="str">
        <f t="shared" ca="1" si="8"/>
        <v>Аналоговый</v>
      </c>
      <c r="B298" s="66" t="s">
        <v>227</v>
      </c>
      <c r="C298" s="66" t="s">
        <v>227</v>
      </c>
      <c r="D298" s="292" t="s">
        <v>611</v>
      </c>
      <c r="E298" s="305" t="str">
        <f t="shared" si="9"/>
        <v>Аналоговый</v>
      </c>
    </row>
    <row r="299" spans="1:11">
      <c r="A299" s="1" t="str">
        <f t="shared" ca="1" si="8"/>
        <v>Аналоговый/HART</v>
      </c>
      <c r="B299" s="66" t="s">
        <v>1049</v>
      </c>
      <c r="C299" s="66" t="s">
        <v>1049</v>
      </c>
      <c r="D299" s="292" t="s">
        <v>1050</v>
      </c>
      <c r="E299" s="305" t="str">
        <f t="shared" si="9"/>
        <v>Аналоговый/HART</v>
      </c>
    </row>
    <row r="300" spans="1:11">
      <c r="A300" s="1" t="str">
        <f t="shared" ca="1" si="8"/>
        <v>EVC - с внутр. питанием датчиков P,T.</v>
      </c>
      <c r="B300" s="66" t="s">
        <v>1095</v>
      </c>
      <c r="C300" s="66" t="s">
        <v>1095</v>
      </c>
      <c r="D300" s="294" t="s">
        <v>1155</v>
      </c>
      <c r="E300" s="305" t="str">
        <f t="shared" si="9"/>
        <v>EVC - с внутр. питанием датчиков P,T.</v>
      </c>
    </row>
    <row r="301" spans="1:11">
      <c r="A301" s="1" t="str">
        <f t="shared" ca="1" si="8"/>
        <v>EVC - с внеш. питанием датчиков P,T</v>
      </c>
      <c r="B301" s="66" t="s">
        <v>1096</v>
      </c>
      <c r="C301" s="66" t="s">
        <v>1096</v>
      </c>
      <c r="D301" s="294" t="s">
        <v>1222</v>
      </c>
      <c r="E301" s="305" t="str">
        <f t="shared" si="9"/>
        <v>EVC - с внеш. питанием датчиков P,T</v>
      </c>
    </row>
    <row r="302" spans="1:11">
      <c r="A302" s="1" t="str">
        <f t="shared" ca="1" si="8"/>
        <v>Назначение сигнала</v>
      </c>
      <c r="B302" s="66" t="s">
        <v>647</v>
      </c>
      <c r="C302" s="66" t="s">
        <v>647</v>
      </c>
      <c r="D302" s="292" t="s">
        <v>658</v>
      </c>
      <c r="E302" s="305" t="str">
        <f t="shared" si="9"/>
        <v>Назначение сигнала</v>
      </c>
    </row>
    <row r="303" spans="1:11">
      <c r="A303" s="1" t="str">
        <f t="shared" ca="1" si="8"/>
        <v>Тип сигнала</v>
      </c>
      <c r="B303" s="66" t="s">
        <v>648</v>
      </c>
      <c r="C303" s="66" t="s">
        <v>648</v>
      </c>
      <c r="D303" s="292" t="s">
        <v>659</v>
      </c>
      <c r="E303" s="305" t="str">
        <f t="shared" si="9"/>
        <v>Тип сигнала</v>
      </c>
    </row>
    <row r="304" spans="1:11">
      <c r="A304" s="1" t="str">
        <f t="shared" ca="1" si="8"/>
        <v>Положение</v>
      </c>
      <c r="B304" s="66" t="s">
        <v>442</v>
      </c>
      <c r="C304" s="66" t="s">
        <v>442</v>
      </c>
      <c r="D304" s="292" t="s">
        <v>612</v>
      </c>
      <c r="E304" s="305" t="str">
        <f t="shared" si="9"/>
        <v>Положение</v>
      </c>
    </row>
    <row r="305" spans="1:11">
      <c r="A305" s="1" t="str">
        <f t="shared" ca="1" si="8"/>
        <v>Интерфейс</v>
      </c>
      <c r="B305" s="66" t="s">
        <v>649</v>
      </c>
      <c r="C305" s="66" t="s">
        <v>649</v>
      </c>
      <c r="D305" s="292" t="s">
        <v>660</v>
      </c>
      <c r="E305" s="305" t="str">
        <f t="shared" si="9"/>
        <v>Интерфейс</v>
      </c>
    </row>
    <row r="306" spans="1:11">
      <c r="A306" s="1" t="str">
        <f t="shared" ca="1" si="8"/>
        <v>Градуировка аналогового выхода</v>
      </c>
      <c r="B306" s="66" t="s">
        <v>214</v>
      </c>
      <c r="C306" s="66" t="s">
        <v>214</v>
      </c>
      <c r="D306" s="293" t="s">
        <v>913</v>
      </c>
      <c r="E306" s="305" t="str">
        <f t="shared" si="9"/>
        <v>Градуировка аналогового выхода</v>
      </c>
    </row>
    <row r="307" spans="1:11">
      <c r="A307" s="1" t="str">
        <f t="shared" ca="1" si="8"/>
        <v>HART®</v>
      </c>
      <c r="B307" s="66" t="s">
        <v>426</v>
      </c>
      <c r="C307" s="66" t="s">
        <v>426</v>
      </c>
      <c r="D307" s="292" t="s">
        <v>426</v>
      </c>
      <c r="E307" s="305" t="str">
        <f t="shared" si="9"/>
        <v>HART®</v>
      </c>
    </row>
    <row r="308" spans="1:11">
      <c r="A308" s="1" t="str">
        <f t="shared" ca="1" si="8"/>
        <v>Сигнал тревоги</v>
      </c>
      <c r="B308" s="66" t="s">
        <v>179</v>
      </c>
      <c r="C308" s="66" t="s">
        <v>179</v>
      </c>
      <c r="D308" s="292" t="s">
        <v>613</v>
      </c>
      <c r="E308" s="305" t="str">
        <f t="shared" si="9"/>
        <v>Сигнал тревоги</v>
      </c>
    </row>
    <row r="309" spans="1:11" ht="63.75">
      <c r="A309" s="1" t="str">
        <f t="shared" ca="1" si="8"/>
        <v>Показаны стандартные конфигурации. Так же возможны другие, см. инструкцию пользователя. Используйте ячейку "Спец. требования", чтобы показать другую требуемую конфигурацию.</v>
      </c>
      <c r="B309" s="70" t="s">
        <v>312</v>
      </c>
      <c r="C309" s="70" t="s">
        <v>312</v>
      </c>
      <c r="D309" s="77" t="s">
        <v>614</v>
      </c>
      <c r="E309" s="305" t="str">
        <f t="shared" si="9"/>
        <v>Показаны стандартные конфигурации. Так же возможны другие, см. инструкцию пользователя. Используйте ячейку "Спец. требования", чтобы показать другую требуемую конфигурацию.</v>
      </c>
      <c r="G309" s="70"/>
      <c r="H309" s="70"/>
      <c r="I309" s="70"/>
      <c r="J309" s="70"/>
      <c r="K309" s="70"/>
    </row>
    <row r="310" spans="1:11" ht="14.25" customHeight="1">
      <c r="A310" s="1" t="str">
        <f t="shared" ca="1" si="8"/>
        <v>со встроенным вычислителем расхода</v>
      </c>
      <c r="B310" s="66" t="s">
        <v>319</v>
      </c>
      <c r="C310" s="66" t="s">
        <v>319</v>
      </c>
      <c r="D310" s="293" t="s">
        <v>914</v>
      </c>
      <c r="E310" s="305" t="str">
        <f t="shared" si="9"/>
        <v>со встроенным вычислителем расхода</v>
      </c>
    </row>
    <row r="311" spans="1:11" ht="14.25" customHeight="1">
      <c r="A311" s="1" t="str">
        <f t="shared" ca="1" si="8"/>
        <v>В следующей таблице Вы можете определить назначение выходных сигналов. Для установки конфигураций 1 и 2 смотрите комментарии также информацию ниже.</v>
      </c>
      <c r="B311" s="70" t="s">
        <v>661</v>
      </c>
      <c r="C311" s="70" t="s">
        <v>661</v>
      </c>
      <c r="D311" s="309" t="s">
        <v>1230</v>
      </c>
      <c r="E311" s="305" t="str">
        <f t="shared" si="9"/>
        <v>В следующей таблице Вы можете определить назначение выходных сигналов. Для установки конфигураций 1 и 2 смотрите комментарии также информацию ниже.</v>
      </c>
      <c r="G311" s="70"/>
      <c r="H311" s="70"/>
      <c r="I311" s="70"/>
      <c r="J311" s="70"/>
      <c r="K311" s="70"/>
    </row>
    <row r="312" spans="1:11" ht="14.25" customHeight="1">
      <c r="A312" s="1">
        <f t="shared" ca="1" si="8"/>
        <v>0</v>
      </c>
      <c r="D312" s="292"/>
      <c r="E312" s="305">
        <f t="shared" si="9"/>
        <v>0</v>
      </c>
    </row>
    <row r="313" spans="1:11" ht="14.25" customHeight="1">
      <c r="A313" s="1" t="str">
        <f t="shared" ca="1" si="8"/>
        <v>Специальные требования</v>
      </c>
      <c r="B313" s="66" t="s">
        <v>43</v>
      </c>
      <c r="C313" s="66" t="s">
        <v>43</v>
      </c>
      <c r="D313" s="292" t="s">
        <v>845</v>
      </c>
      <c r="E313" s="305" t="str">
        <f t="shared" si="9"/>
        <v>Специальные требования</v>
      </c>
    </row>
    <row r="314" spans="1:11" ht="14.25" customHeight="1">
      <c r="A314" s="1" t="str">
        <f t="shared" ca="1" si="8"/>
        <v>Дата</v>
      </c>
      <c r="B314" s="66" t="s">
        <v>180</v>
      </c>
      <c r="C314" s="66" t="s">
        <v>180</v>
      </c>
      <c r="D314" s="293" t="s">
        <v>537</v>
      </c>
      <c r="E314" s="305" t="str">
        <f t="shared" si="9"/>
        <v>Дата</v>
      </c>
    </row>
    <row r="315" spans="1:11" ht="14.25" customHeight="1">
      <c r="A315" s="1" t="str">
        <f t="shared" ca="1" si="8"/>
        <v>Заказчик</v>
      </c>
      <c r="B315" s="66" t="s">
        <v>7</v>
      </c>
      <c r="C315" s="66" t="s">
        <v>7</v>
      </c>
      <c r="D315" s="292" t="s">
        <v>530</v>
      </c>
      <c r="E315" s="305" t="str">
        <f t="shared" si="9"/>
        <v>Заказчик</v>
      </c>
    </row>
    <row r="316" spans="1:11" ht="14.25" customHeight="1">
      <c r="A316" s="1">
        <f t="shared" ca="1" si="8"/>
        <v>0</v>
      </c>
      <c r="D316" s="296"/>
      <c r="E316" s="305">
        <f t="shared" si="9"/>
        <v>0</v>
      </c>
    </row>
    <row r="317" spans="1:11" ht="14.25" customHeight="1">
      <c r="A317" s="1">
        <f t="shared" ca="1" si="8"/>
        <v>0</v>
      </c>
      <c r="D317" s="296"/>
      <c r="E317" s="305">
        <f t="shared" si="9"/>
        <v>0</v>
      </c>
    </row>
    <row r="318" spans="1:11" ht="14.25" customHeight="1">
      <c r="A318" s="1" t="str">
        <f t="shared" ca="1" si="8"/>
        <v>Предупреждение</v>
      </c>
      <c r="B318" s="66" t="s">
        <v>124</v>
      </c>
      <c r="C318" s="66" t="s">
        <v>124</v>
      </c>
      <c r="D318" s="75" t="s">
        <v>615</v>
      </c>
      <c r="E318" s="305" t="str">
        <f t="shared" si="9"/>
        <v>Предупреждение</v>
      </c>
    </row>
    <row r="319" spans="1:11">
      <c r="A319" s="1" t="str">
        <f t="shared" ca="1" si="8"/>
        <v>Сбой</v>
      </c>
      <c r="B319" s="66" t="s">
        <v>125</v>
      </c>
      <c r="C319" s="66" t="s">
        <v>125</v>
      </c>
      <c r="D319" s="176" t="s">
        <v>915</v>
      </c>
      <c r="E319" s="305" t="str">
        <f t="shared" si="9"/>
        <v>Сбой</v>
      </c>
    </row>
    <row r="320" spans="1:11">
      <c r="A320" s="1" t="str">
        <f t="shared" ca="1" si="8"/>
        <v>Запрос обслуживания</v>
      </c>
      <c r="B320" s="66" t="s">
        <v>215</v>
      </c>
      <c r="C320" s="66" t="s">
        <v>215</v>
      </c>
      <c r="D320" s="176" t="s">
        <v>916</v>
      </c>
      <c r="E320" s="305" t="str">
        <f t="shared" si="9"/>
        <v>Запрос обслуживания</v>
      </c>
    </row>
    <row r="321" spans="1:11">
      <c r="A321" s="1" t="str">
        <f t="shared" ca="1" si="8"/>
        <v>Направление потока</v>
      </c>
      <c r="B321" s="66" t="s">
        <v>199</v>
      </c>
      <c r="C321" s="66" t="s">
        <v>199</v>
      </c>
      <c r="D321" s="75" t="s">
        <v>616</v>
      </c>
      <c r="E321" s="305" t="str">
        <f t="shared" si="9"/>
        <v>Направление потока</v>
      </c>
    </row>
    <row r="322" spans="1:11">
      <c r="A322" s="1" t="str">
        <f t="shared" ref="A322:A385" ca="1" si="10">HLOOKUP(langchoose,LangMatrix,ROW(),0)</f>
        <v>Стандарт</v>
      </c>
      <c r="B322" s="66" t="s">
        <v>182</v>
      </c>
      <c r="C322" s="66" t="s">
        <v>182</v>
      </c>
      <c r="D322" s="75" t="s">
        <v>589</v>
      </c>
      <c r="E322" s="305" t="str">
        <f t="shared" si="9"/>
        <v>Стандарт</v>
      </c>
    </row>
    <row r="323" spans="1:11">
      <c r="A323" s="1" t="str">
        <f t="shared" ca="1" si="10"/>
        <v>Другое</v>
      </c>
      <c r="B323" s="66" t="s">
        <v>326</v>
      </c>
      <c r="C323" s="66" t="s">
        <v>326</v>
      </c>
      <c r="D323" s="75" t="s">
        <v>617</v>
      </c>
      <c r="E323" s="305" t="str">
        <f t="shared" ref="E323:E386" si="11">D323</f>
        <v>Другое</v>
      </c>
    </row>
    <row r="324" spans="1:11">
      <c r="A324" s="1">
        <f t="shared" ca="1" si="10"/>
        <v>0</v>
      </c>
      <c r="D324" s="296"/>
      <c r="E324" s="305">
        <f t="shared" si="11"/>
        <v>0</v>
      </c>
    </row>
    <row r="325" spans="1:11">
      <c r="A325" s="1">
        <f t="shared" ca="1" si="10"/>
        <v>0</v>
      </c>
      <c r="D325" s="296"/>
      <c r="E325" s="305">
        <f t="shared" si="11"/>
        <v>0</v>
      </c>
    </row>
    <row r="326" spans="1:11">
      <c r="A326" s="1" t="str">
        <f t="shared" ca="1" si="10"/>
        <v>Релейные выходы</v>
      </c>
      <c r="B326" s="66" t="s">
        <v>366</v>
      </c>
      <c r="C326" s="66" t="s">
        <v>366</v>
      </c>
      <c r="D326" s="293" t="s">
        <v>917</v>
      </c>
      <c r="E326" s="305" t="str">
        <f t="shared" si="11"/>
        <v>Релейные выходы</v>
      </c>
    </row>
    <row r="327" spans="1:11" s="71" customFormat="1">
      <c r="A327" s="1">
        <f t="shared" ca="1" si="10"/>
        <v>0</v>
      </c>
      <c r="B327" s="66"/>
      <c r="C327" s="66"/>
      <c r="D327" s="296"/>
      <c r="E327" s="305">
        <f t="shared" si="11"/>
        <v>0</v>
      </c>
      <c r="G327" s="66"/>
      <c r="H327" s="66"/>
      <c r="I327" s="66"/>
      <c r="J327" s="66"/>
      <c r="K327" s="66"/>
    </row>
    <row r="328" spans="1:11">
      <c r="A328" s="1" t="str">
        <f t="shared" ca="1" si="10"/>
        <v>NAMUR</v>
      </c>
      <c r="B328" s="66" t="s">
        <v>126</v>
      </c>
      <c r="C328" s="66" t="s">
        <v>126</v>
      </c>
      <c r="D328" s="292" t="s">
        <v>126</v>
      </c>
      <c r="E328" s="305" t="str">
        <f t="shared" si="11"/>
        <v>NAMUR</v>
      </c>
    </row>
    <row r="329" spans="1:11">
      <c r="A329" s="1" t="str">
        <f t="shared" ca="1" si="10"/>
        <v>Открытый коллектор</v>
      </c>
      <c r="B329" s="66" t="s">
        <v>216</v>
      </c>
      <c r="C329" s="66" t="s">
        <v>216</v>
      </c>
      <c r="D329" s="292" t="s">
        <v>618</v>
      </c>
      <c r="E329" s="305" t="str">
        <f t="shared" si="11"/>
        <v>Открытый коллектор</v>
      </c>
    </row>
    <row r="330" spans="1:11">
      <c r="A330" s="1">
        <f t="shared" ca="1" si="10"/>
        <v>0</v>
      </c>
      <c r="D330" s="296"/>
      <c r="E330" s="305">
        <f t="shared" si="11"/>
        <v>0</v>
      </c>
    </row>
    <row r="331" spans="1:11" s="70" customFormat="1">
      <c r="A331" s="1" t="str">
        <f t="shared" ca="1" si="10"/>
        <v>активный</v>
      </c>
      <c r="B331" s="66" t="s">
        <v>203</v>
      </c>
      <c r="C331" s="66" t="s">
        <v>203</v>
      </c>
      <c r="D331" s="292" t="s">
        <v>619</v>
      </c>
      <c r="E331" s="305" t="str">
        <f t="shared" si="11"/>
        <v>активный</v>
      </c>
      <c r="G331" s="66"/>
      <c r="H331" s="66"/>
      <c r="I331" s="66"/>
      <c r="J331" s="66"/>
      <c r="K331" s="66"/>
    </row>
    <row r="332" spans="1:11" s="70" customFormat="1">
      <c r="A332" s="1" t="str">
        <f t="shared" ca="1" si="10"/>
        <v>пассивный</v>
      </c>
      <c r="B332" s="66" t="s">
        <v>204</v>
      </c>
      <c r="C332" s="66" t="s">
        <v>204</v>
      </c>
      <c r="D332" s="292" t="s">
        <v>620</v>
      </c>
      <c r="E332" s="305" t="str">
        <f t="shared" si="11"/>
        <v>пассивный</v>
      </c>
      <c r="G332" s="66"/>
      <c r="H332" s="66"/>
      <c r="I332" s="66"/>
      <c r="J332" s="66"/>
      <c r="K332" s="66"/>
    </row>
    <row r="333" spans="1:11" s="70" customFormat="1">
      <c r="A333" s="1">
        <f t="shared" ca="1" si="10"/>
        <v>0</v>
      </c>
      <c r="B333" s="66"/>
      <c r="C333" s="66"/>
      <c r="D333" s="296"/>
      <c r="E333" s="305">
        <f t="shared" si="11"/>
        <v>0</v>
      </c>
      <c r="G333" s="66"/>
      <c r="H333" s="66"/>
      <c r="I333" s="66"/>
      <c r="J333" s="66"/>
      <c r="K333" s="66"/>
    </row>
    <row r="334" spans="1:11">
      <c r="A334" s="1" t="str">
        <f t="shared" ca="1" si="10"/>
        <v>нормально открытый</v>
      </c>
      <c r="B334" s="66" t="s">
        <v>128</v>
      </c>
      <c r="C334" s="66" t="s">
        <v>128</v>
      </c>
      <c r="D334" s="292" t="s">
        <v>621</v>
      </c>
      <c r="E334" s="305" t="str">
        <f t="shared" si="11"/>
        <v>нормально открытый</v>
      </c>
    </row>
    <row r="335" spans="1:11">
      <c r="A335" s="1" t="str">
        <f t="shared" ca="1" si="10"/>
        <v>нормально закрытый</v>
      </c>
      <c r="B335" s="66" t="s">
        <v>503</v>
      </c>
      <c r="C335" s="66" t="s">
        <v>503</v>
      </c>
      <c r="D335" s="292" t="s">
        <v>622</v>
      </c>
      <c r="E335" s="305" t="str">
        <f t="shared" si="11"/>
        <v>нормально закрытый</v>
      </c>
    </row>
    <row r="336" spans="1:11">
      <c r="A336" s="1">
        <f t="shared" ca="1" si="10"/>
        <v>0</v>
      </c>
      <c r="D336" s="296"/>
      <c r="E336" s="305">
        <f t="shared" si="11"/>
        <v>0</v>
      </c>
    </row>
    <row r="337" spans="1:11">
      <c r="A337" s="1" t="str">
        <f t="shared" ca="1" si="10"/>
        <v>аналоговый</v>
      </c>
      <c r="B337" s="66" t="s">
        <v>201</v>
      </c>
      <c r="C337" s="66" t="s">
        <v>201</v>
      </c>
      <c r="D337" s="292" t="s">
        <v>623</v>
      </c>
      <c r="E337" s="305" t="str">
        <f t="shared" si="11"/>
        <v>аналоговый</v>
      </c>
    </row>
    <row r="338" spans="1:11">
      <c r="A338" s="1">
        <f t="shared" ca="1" si="10"/>
        <v>0</v>
      </c>
      <c r="D338" s="296"/>
      <c r="E338" s="305">
        <f t="shared" si="11"/>
        <v>0</v>
      </c>
    </row>
    <row r="339" spans="1:11">
      <c r="A339" s="1">
        <f t="shared" ca="1" si="10"/>
        <v>0</v>
      </c>
      <c r="D339" s="296"/>
      <c r="E339" s="305">
        <f t="shared" si="11"/>
        <v>0</v>
      </c>
    </row>
    <row r="340" spans="1:11">
      <c r="A340" s="1" t="str">
        <f t="shared" ca="1" si="10"/>
        <v>Стр.</v>
      </c>
      <c r="B340" s="66" t="s">
        <v>445</v>
      </c>
      <c r="C340" s="66" t="s">
        <v>445</v>
      </c>
      <c r="D340" s="292" t="s">
        <v>624</v>
      </c>
      <c r="E340" s="305" t="str">
        <f t="shared" si="11"/>
        <v>Стр.</v>
      </c>
    </row>
    <row r="341" spans="1:11">
      <c r="A341" s="1">
        <f t="shared" ca="1" si="10"/>
        <v>0</v>
      </c>
      <c r="D341" s="296"/>
      <c r="E341" s="305">
        <f t="shared" si="11"/>
        <v>0</v>
      </c>
    </row>
    <row r="342" spans="1:11" ht="63.75">
      <c r="A342" s="1" t="str">
        <f t="shared" ca="1" si="10"/>
        <v>Опросный лист имеет номера ссылок на заполненные ячейки. В случае заказа, данный опросный лист будет передан вместе с подтверждением о заказе. Номера ссылок ячеек могут быть показаны на листе.</v>
      </c>
      <c r="B342" s="71" t="s">
        <v>373</v>
      </c>
      <c r="C342" s="71" t="s">
        <v>373</v>
      </c>
      <c r="D342" s="310" t="s">
        <v>625</v>
      </c>
      <c r="E342" s="305" t="str">
        <f t="shared" si="11"/>
        <v>Опросный лист имеет номера ссылок на заполненные ячейки. В случае заказа, данный опросный лист будет передан вместе с подтверждением о заказе. Номера ссылок ячеек могут быть показаны на листе.</v>
      </c>
      <c r="G342" s="71"/>
      <c r="H342" s="71"/>
      <c r="I342" s="71"/>
      <c r="J342" s="71"/>
      <c r="K342" s="71"/>
    </row>
    <row r="343" spans="1:11">
      <c r="A343" s="1" t="str">
        <f t="shared" ca="1" si="10"/>
        <v>Показать</v>
      </c>
      <c r="B343" s="66" t="s">
        <v>446</v>
      </c>
      <c r="C343" s="66" t="s">
        <v>446</v>
      </c>
      <c r="D343" s="292" t="s">
        <v>626</v>
      </c>
      <c r="E343" s="305" t="str">
        <f t="shared" si="11"/>
        <v>Показать</v>
      </c>
    </row>
    <row r="344" spans="1:11">
      <c r="A344" s="1" t="str">
        <f t="shared" ca="1" si="10"/>
        <v>Спрятать</v>
      </c>
      <c r="B344" s="66" t="s">
        <v>447</v>
      </c>
      <c r="C344" s="66" t="s">
        <v>447</v>
      </c>
      <c r="D344" s="292" t="s">
        <v>627</v>
      </c>
      <c r="E344" s="305" t="str">
        <f t="shared" si="11"/>
        <v>Спрятать</v>
      </c>
    </row>
    <row r="345" spans="1:11">
      <c r="A345" s="1">
        <f t="shared" ca="1" si="10"/>
        <v>0</v>
      </c>
      <c r="D345" s="296"/>
      <c r="E345" s="305">
        <f t="shared" si="11"/>
        <v>0</v>
      </c>
    </row>
    <row r="346" spans="1:11" ht="25.5">
      <c r="A346" s="1" t="str">
        <f t="shared" ca="1" si="10"/>
        <v>Объём (р.у.), нет импульсов если нет достоверного резултата</v>
      </c>
      <c r="B346" s="141" t="s">
        <v>802</v>
      </c>
      <c r="C346" s="141" t="s">
        <v>802</v>
      </c>
      <c r="D346" s="311" t="s">
        <v>918</v>
      </c>
      <c r="E346" s="305" t="str">
        <f t="shared" si="11"/>
        <v>Объём (р.у.), нет импульсов если нет достоверного резултата</v>
      </c>
      <c r="G346" s="70"/>
      <c r="H346" s="70"/>
      <c r="I346" s="70"/>
      <c r="J346" s="70"/>
      <c r="K346" s="70"/>
    </row>
    <row r="347" spans="1:11" ht="25.5">
      <c r="A347" s="1" t="str">
        <f t="shared" ca="1" si="10"/>
        <v>Объём (р.у.), направление потока виде свига по фазе +-90°</v>
      </c>
      <c r="B347" s="141" t="s">
        <v>803</v>
      </c>
      <c r="C347" s="141" t="s">
        <v>803</v>
      </c>
      <c r="D347" s="311" t="s">
        <v>919</v>
      </c>
      <c r="E347" s="305" t="str">
        <f t="shared" si="11"/>
        <v>Объём (р.у.), направление потока виде свига по фазе +-90°</v>
      </c>
      <c r="G347" s="70"/>
      <c r="H347" s="70"/>
      <c r="I347" s="70"/>
      <c r="J347" s="70"/>
      <c r="K347" s="70"/>
    </row>
    <row r="348" spans="1:11" ht="25.5">
      <c r="A348" s="1" t="str">
        <f t="shared" ca="1" si="10"/>
        <v>Объём (р.у.), при отрицательном направлени потока</v>
      </c>
      <c r="B348" s="141" t="s">
        <v>804</v>
      </c>
      <c r="C348" s="141" t="s">
        <v>804</v>
      </c>
      <c r="D348" s="311" t="s">
        <v>920</v>
      </c>
      <c r="E348" s="305" t="str">
        <f t="shared" si="11"/>
        <v>Объём (р.у.), при отрицательном направлени потока</v>
      </c>
      <c r="G348" s="70"/>
      <c r="H348" s="70"/>
      <c r="I348" s="70"/>
      <c r="J348" s="70"/>
      <c r="K348" s="70"/>
    </row>
    <row r="349" spans="1:11">
      <c r="A349" s="1" t="str">
        <f t="shared" ca="1" si="10"/>
        <v>Объём (р.у.)</v>
      </c>
      <c r="B349" s="5" t="s">
        <v>422</v>
      </c>
      <c r="C349" s="5" t="s">
        <v>422</v>
      </c>
      <c r="D349" s="292" t="s">
        <v>921</v>
      </c>
      <c r="E349" s="305" t="str">
        <f t="shared" si="11"/>
        <v>Объём (р.у.)</v>
      </c>
    </row>
    <row r="350" spans="1:11">
      <c r="A350" s="1" t="str">
        <f t="shared" ca="1" si="10"/>
        <v>Объём (р.у.), при положительном направлени потока</v>
      </c>
      <c r="B350" s="5" t="s">
        <v>805</v>
      </c>
      <c r="C350" s="5" t="s">
        <v>805</v>
      </c>
      <c r="D350" s="292" t="s">
        <v>922</v>
      </c>
      <c r="E350" s="305" t="str">
        <f t="shared" si="11"/>
        <v>Объём (р.у.), при положительном направлени потока</v>
      </c>
    </row>
    <row r="351" spans="1:11">
      <c r="A351" s="1" t="str">
        <f t="shared" ca="1" si="10"/>
        <v>Объём (с.у.)</v>
      </c>
      <c r="B351" s="5" t="s">
        <v>423</v>
      </c>
      <c r="C351" s="5" t="s">
        <v>423</v>
      </c>
      <c r="D351" s="292" t="s">
        <v>923</v>
      </c>
      <c r="E351" s="305" t="str">
        <f t="shared" si="11"/>
        <v>Объём (с.у.)</v>
      </c>
    </row>
    <row r="352" spans="1:11">
      <c r="A352" s="1" t="str">
        <f t="shared" ca="1" si="10"/>
        <v>Статус Предупреждение</v>
      </c>
      <c r="B352" s="5" t="s">
        <v>504</v>
      </c>
      <c r="C352" s="5" t="s">
        <v>504</v>
      </c>
      <c r="D352" s="292" t="s">
        <v>509</v>
      </c>
      <c r="E352" s="305" t="str">
        <f t="shared" si="11"/>
        <v>Статус Предупреждение</v>
      </c>
    </row>
    <row r="353" spans="1:11">
      <c r="A353" s="1" t="str">
        <f t="shared" ca="1" si="10"/>
        <v>Статус Сбой</v>
      </c>
      <c r="B353" s="5" t="s">
        <v>505</v>
      </c>
      <c r="C353" s="5" t="s">
        <v>505</v>
      </c>
      <c r="D353" s="292" t="s">
        <v>510</v>
      </c>
      <c r="E353" s="305" t="str">
        <f t="shared" si="11"/>
        <v>Статус Сбой</v>
      </c>
    </row>
    <row r="354" spans="1:11" s="70" customFormat="1">
      <c r="A354" s="1" t="str">
        <f t="shared" ca="1" si="10"/>
        <v>Статус Необх. тех. обслуживания</v>
      </c>
      <c r="B354" s="5" t="s">
        <v>508</v>
      </c>
      <c r="C354" s="5" t="s">
        <v>508</v>
      </c>
      <c r="D354" s="292" t="s">
        <v>511</v>
      </c>
      <c r="E354" s="305" t="str">
        <f t="shared" si="11"/>
        <v>Статус Необх. тех. обслуживания</v>
      </c>
      <c r="G354" s="66"/>
      <c r="H354" s="66"/>
      <c r="I354" s="66"/>
      <c r="J354" s="66"/>
      <c r="K354" s="66"/>
    </row>
    <row r="355" spans="1:11">
      <c r="A355" s="1" t="str">
        <f t="shared" ca="1" si="10"/>
        <v>Статус Направление расхода</v>
      </c>
      <c r="B355" s="5" t="s">
        <v>506</v>
      </c>
      <c r="C355" s="5" t="s">
        <v>506</v>
      </c>
      <c r="D355" s="292" t="s">
        <v>512</v>
      </c>
      <c r="E355" s="305" t="str">
        <f t="shared" si="11"/>
        <v>Статус Направление расхода</v>
      </c>
    </row>
    <row r="356" spans="1:11">
      <c r="A356" s="1" t="str">
        <f t="shared" ca="1" si="10"/>
        <v>Encoder</v>
      </c>
      <c r="B356" s="5" t="s">
        <v>1089</v>
      </c>
      <c r="C356" s="5" t="s">
        <v>1089</v>
      </c>
      <c r="D356" s="294" t="s">
        <v>1089</v>
      </c>
      <c r="E356" s="305" t="str">
        <f t="shared" si="11"/>
        <v>Encoder</v>
      </c>
    </row>
    <row r="357" spans="1:11">
      <c r="A357" s="1" t="str">
        <f t="shared" ca="1" si="10"/>
        <v>Расход (р.у.)</v>
      </c>
      <c r="B357" s="5" t="s">
        <v>123</v>
      </c>
      <c r="C357" s="5" t="s">
        <v>123</v>
      </c>
      <c r="D357" s="292" t="s">
        <v>924</v>
      </c>
      <c r="E357" s="305" t="str">
        <f t="shared" si="11"/>
        <v>Расход (р.у.)</v>
      </c>
    </row>
    <row r="358" spans="1:11">
      <c r="A358" s="1" t="str">
        <f t="shared" ca="1" si="10"/>
        <v>Скорость газа</v>
      </c>
      <c r="B358" s="5" t="s">
        <v>205</v>
      </c>
      <c r="C358" s="5" t="s">
        <v>205</v>
      </c>
      <c r="D358" s="292" t="s">
        <v>513</v>
      </c>
      <c r="E358" s="305" t="str">
        <f t="shared" si="11"/>
        <v>Скорость газа</v>
      </c>
    </row>
    <row r="359" spans="1:11">
      <c r="A359" s="1" t="str">
        <f t="shared" ca="1" si="10"/>
        <v>Скорость звука</v>
      </c>
      <c r="B359" s="5" t="s">
        <v>206</v>
      </c>
      <c r="C359" s="5" t="s">
        <v>206</v>
      </c>
      <c r="D359" s="292" t="s">
        <v>514</v>
      </c>
      <c r="E359" s="305" t="str">
        <f t="shared" si="11"/>
        <v>Скорость звука</v>
      </c>
    </row>
    <row r="360" spans="1:11">
      <c r="A360" s="1">
        <f t="shared" ca="1" si="10"/>
        <v>0</v>
      </c>
      <c r="B360" s="5"/>
      <c r="C360" s="5"/>
      <c r="D360" s="292"/>
      <c r="E360" s="305">
        <f t="shared" si="11"/>
        <v>0</v>
      </c>
    </row>
    <row r="361" spans="1:11">
      <c r="A361" s="1" t="str">
        <f t="shared" ca="1" si="10"/>
        <v>Подключение Р и Т датчиков</v>
      </c>
      <c r="B361" s="66" t="s">
        <v>507</v>
      </c>
      <c r="C361" s="66" t="s">
        <v>507</v>
      </c>
      <c r="D361" s="292" t="s">
        <v>515</v>
      </c>
      <c r="E361" s="305" t="str">
        <f t="shared" si="11"/>
        <v>Подключение Р и Т датчиков</v>
      </c>
    </row>
    <row r="362" spans="1:11">
      <c r="A362" s="1">
        <f t="shared" ca="1" si="10"/>
        <v>0</v>
      </c>
      <c r="D362" s="292"/>
      <c r="E362" s="305">
        <f t="shared" si="11"/>
        <v>0</v>
      </c>
    </row>
    <row r="363" spans="1:11">
      <c r="A363" s="1" t="str">
        <f t="shared" ca="1" si="10"/>
        <v>Примечания см. ниже</v>
      </c>
      <c r="B363" s="66" t="s">
        <v>501</v>
      </c>
      <c r="C363" s="66" t="s">
        <v>501</v>
      </c>
      <c r="D363" s="292" t="s">
        <v>925</v>
      </c>
      <c r="E363" s="305" t="str">
        <f t="shared" si="11"/>
        <v>Примечания см. ниже</v>
      </c>
    </row>
    <row r="364" spans="1:11">
      <c r="A364" s="1">
        <f t="shared" ca="1" si="10"/>
        <v>0</v>
      </c>
      <c r="D364" s="292"/>
      <c r="E364" s="305">
        <f t="shared" si="11"/>
        <v>0</v>
      </c>
    </row>
    <row r="365" spans="1:11" ht="38.25">
      <c r="A365" s="1" t="str">
        <f t="shared" ca="1" si="10"/>
        <v>Указание к одновременной распечатке всех страниц: Удерживая клавишу SHIFT, можно выбрать 3 страницы, кликая на них курсором</v>
      </c>
      <c r="B365" s="71" t="s">
        <v>132</v>
      </c>
      <c r="C365" s="71" t="s">
        <v>132</v>
      </c>
      <c r="D365" s="311" t="s">
        <v>516</v>
      </c>
      <c r="E365" s="305" t="str">
        <f t="shared" si="11"/>
        <v>Указание к одновременной распечатке всех страниц: Удерживая клавишу SHIFT, можно выбрать 3 страницы, кликая на них курсором</v>
      </c>
    </row>
    <row r="366" spans="1:11">
      <c r="A366" s="1">
        <f t="shared" ca="1" si="10"/>
        <v>0</v>
      </c>
      <c r="D366" s="296"/>
      <c r="E366" s="305">
        <f t="shared" si="11"/>
        <v>0</v>
      </c>
    </row>
    <row r="367" spans="1:11">
      <c r="A367" s="1">
        <f t="shared" ca="1" si="10"/>
        <v>0</v>
      </c>
      <c r="D367" s="296"/>
      <c r="E367" s="305">
        <f t="shared" si="11"/>
        <v>0</v>
      </c>
    </row>
    <row r="368" spans="1:11">
      <c r="A368" s="1">
        <f t="shared" ca="1" si="10"/>
        <v>0</v>
      </c>
      <c r="D368" s="296"/>
      <c r="E368" s="305">
        <f t="shared" si="11"/>
        <v>0</v>
      </c>
    </row>
    <row r="369" spans="1:11" ht="25.5">
      <c r="A369" s="1" t="str">
        <f t="shared" ca="1" si="10"/>
        <v xml:space="preserve"> ОПРОСНЫЙ ЛИСТ ДЛЯ: СЧЕТЧИК ГАЗА УЛЬТРАЗВУКОВОЙ</v>
      </c>
      <c r="B369" s="70" t="s">
        <v>1315</v>
      </c>
      <c r="C369" s="70" t="s">
        <v>1315</v>
      </c>
      <c r="D369" s="312" t="s">
        <v>1314</v>
      </c>
      <c r="E369" s="305" t="str">
        <f t="shared" si="11"/>
        <v xml:space="preserve"> ОПРОСНЫЙ ЛИСТ ДЛЯ: СЧЕТЧИК ГАЗА УЛЬТРАЗВУКОВОЙ</v>
      </c>
      <c r="G369" s="70"/>
      <c r="H369" s="70"/>
      <c r="I369" s="70"/>
      <c r="J369" s="70"/>
      <c r="K369" s="70"/>
    </row>
    <row r="370" spans="1:11">
      <c r="A370" s="1" t="str">
        <f t="shared" ca="1" si="10"/>
        <v>Код типа</v>
      </c>
      <c r="B370" s="66" t="s">
        <v>726</v>
      </c>
      <c r="C370" s="66" t="s">
        <v>726</v>
      </c>
      <c r="D370" s="292" t="s">
        <v>806</v>
      </c>
      <c r="E370" s="305" t="str">
        <f t="shared" si="11"/>
        <v>Код типа</v>
      </c>
    </row>
    <row r="371" spans="1:11">
      <c r="A371" s="1" t="str">
        <f t="shared" ca="1" si="10"/>
        <v xml:space="preserve">Общие данные </v>
      </c>
      <c r="B371" s="66" t="s">
        <v>727</v>
      </c>
      <c r="C371" s="66" t="s">
        <v>727</v>
      </c>
      <c r="D371" s="307" t="s">
        <v>926</v>
      </c>
      <c r="E371" s="305" t="str">
        <f t="shared" si="11"/>
        <v xml:space="preserve">Общие данные </v>
      </c>
    </row>
    <row r="372" spans="1:11">
      <c r="A372" s="1" t="str">
        <f t="shared" ca="1" si="10"/>
        <v>Тип</v>
      </c>
      <c r="B372" s="66" t="s">
        <v>728</v>
      </c>
      <c r="C372" s="66" t="s">
        <v>728</v>
      </c>
      <c r="D372" s="306" t="s">
        <v>807</v>
      </c>
      <c r="E372" s="305" t="str">
        <f t="shared" si="11"/>
        <v>Тип</v>
      </c>
    </row>
    <row r="373" spans="1:11">
      <c r="A373" s="1" t="str">
        <f t="shared" ca="1" si="10"/>
        <v>Размер счётчика</v>
      </c>
      <c r="B373" s="66" t="s">
        <v>21</v>
      </c>
      <c r="C373" s="66" t="s">
        <v>21</v>
      </c>
      <c r="D373" s="292" t="s">
        <v>539</v>
      </c>
      <c r="E373" s="305" t="str">
        <f t="shared" si="11"/>
        <v>Размер счётчика</v>
      </c>
    </row>
    <row r="374" spans="1:11">
      <c r="A374" s="1" t="str">
        <f t="shared" ca="1" si="10"/>
        <v>Артикул</v>
      </c>
      <c r="B374" s="66" t="s">
        <v>729</v>
      </c>
      <c r="C374" s="66" t="s">
        <v>729</v>
      </c>
      <c r="D374" s="306" t="s">
        <v>808</v>
      </c>
      <c r="E374" s="305" t="str">
        <f t="shared" si="11"/>
        <v>Артикул</v>
      </c>
    </row>
    <row r="375" spans="1:11">
      <c r="A375" s="1" t="str">
        <f t="shared" ca="1" si="10"/>
        <v>No. чертежа</v>
      </c>
      <c r="B375" s="66" t="s">
        <v>730</v>
      </c>
      <c r="C375" s="66" t="s">
        <v>730</v>
      </c>
      <c r="D375" s="292" t="s">
        <v>927</v>
      </c>
      <c r="E375" s="305" t="str">
        <f t="shared" si="11"/>
        <v>No. чертежа</v>
      </c>
    </row>
    <row r="376" spans="1:11" s="70" customFormat="1">
      <c r="A376" s="1" t="str">
        <f t="shared" ca="1" si="10"/>
        <v>Номер заказа</v>
      </c>
      <c r="B376" s="66" t="s">
        <v>731</v>
      </c>
      <c r="C376" s="66" t="s">
        <v>731</v>
      </c>
      <c r="D376" s="306" t="s">
        <v>809</v>
      </c>
      <c r="E376" s="305" t="str">
        <f t="shared" si="11"/>
        <v>Номер заказа</v>
      </c>
      <c r="G376" s="66"/>
      <c r="H376" s="66"/>
      <c r="I376" s="66"/>
      <c r="J376" s="66"/>
      <c r="K376" s="66"/>
    </row>
    <row r="377" spans="1:11">
      <c r="A377" s="1">
        <f t="shared" ca="1" si="10"/>
        <v>0</v>
      </c>
      <c r="D377" s="306"/>
      <c r="E377" s="305">
        <f t="shared" si="11"/>
        <v>0</v>
      </c>
    </row>
    <row r="378" spans="1:11">
      <c r="A378" s="1" t="str">
        <f t="shared" ca="1" si="10"/>
        <v>Корпус счетчика</v>
      </c>
      <c r="B378" s="66" t="s">
        <v>732</v>
      </c>
      <c r="C378" s="66" t="s">
        <v>732</v>
      </c>
      <c r="D378" s="302" t="s">
        <v>846</v>
      </c>
      <c r="E378" s="305" t="str">
        <f t="shared" si="11"/>
        <v>Корпус счетчика</v>
      </c>
    </row>
    <row r="379" spans="1:11">
      <c r="A379" s="1" t="str">
        <f t="shared" ca="1" si="10"/>
        <v>Внутренний D подсоединяемой трубы</v>
      </c>
      <c r="B379" s="66" t="s">
        <v>669</v>
      </c>
      <c r="C379" s="66" t="s">
        <v>669</v>
      </c>
      <c r="D379" s="302" t="s">
        <v>847</v>
      </c>
      <c r="E379" s="305" t="str">
        <f t="shared" si="11"/>
        <v>Внутренний D подсоединяемой трубы</v>
      </c>
    </row>
    <row r="380" spans="1:11">
      <c r="A380" s="1" t="str">
        <f t="shared" ca="1" si="10"/>
        <v>Общая длина (А)</v>
      </c>
      <c r="B380" s="66" t="s">
        <v>733</v>
      </c>
      <c r="C380" s="66" t="s">
        <v>733</v>
      </c>
      <c r="D380" s="306" t="s">
        <v>810</v>
      </c>
      <c r="E380" s="305" t="str">
        <f t="shared" si="11"/>
        <v>Общая длина (А)</v>
      </c>
    </row>
    <row r="381" spans="1:11">
      <c r="A381" s="1" t="str">
        <f t="shared" ca="1" si="10"/>
        <v>Общая высота (В)</v>
      </c>
      <c r="B381" s="66" t="s">
        <v>734</v>
      </c>
      <c r="C381" s="66" t="s">
        <v>734</v>
      </c>
      <c r="D381" s="306" t="s">
        <v>811</v>
      </c>
      <c r="E381" s="305" t="str">
        <f t="shared" si="11"/>
        <v>Общая высота (В)</v>
      </c>
    </row>
    <row r="382" spans="1:11">
      <c r="A382" s="1" t="str">
        <f t="shared" ca="1" si="10"/>
        <v>Вес</v>
      </c>
      <c r="B382" s="66" t="s">
        <v>735</v>
      </c>
      <c r="C382" s="66" t="s">
        <v>735</v>
      </c>
      <c r="D382" s="306" t="s">
        <v>812</v>
      </c>
      <c r="E382" s="305" t="str">
        <f t="shared" si="11"/>
        <v>Вес</v>
      </c>
    </row>
    <row r="383" spans="1:11">
      <c r="A383" s="1" t="str">
        <f t="shared" ca="1" si="10"/>
        <v>Диапазон объемного расхода (р.у.)</v>
      </c>
      <c r="B383" s="66" t="s">
        <v>736</v>
      </c>
      <c r="C383" s="66" t="s">
        <v>736</v>
      </c>
      <c r="D383" s="307" t="s">
        <v>928</v>
      </c>
      <c r="E383" s="305" t="str">
        <f t="shared" si="11"/>
        <v>Диапазон объемного расхода (р.у.)</v>
      </c>
    </row>
    <row r="384" spans="1:11">
      <c r="A384" s="1" t="str">
        <f t="shared" ca="1" si="10"/>
        <v>Количество измерительных лучей</v>
      </c>
      <c r="B384" s="66" t="s">
        <v>737</v>
      </c>
      <c r="C384" s="66" t="s">
        <v>737</v>
      </c>
      <c r="D384" s="302" t="s">
        <v>848</v>
      </c>
      <c r="E384" s="305" t="str">
        <f t="shared" si="11"/>
        <v>Количество измерительных лучей</v>
      </c>
    </row>
    <row r="385" spans="1:11">
      <c r="A385" s="1" t="str">
        <f t="shared" ca="1" si="10"/>
        <v>Линейность</v>
      </c>
      <c r="B385" s="66" t="s">
        <v>738</v>
      </c>
      <c r="C385" s="66" t="s">
        <v>738</v>
      </c>
      <c r="D385" s="306" t="s">
        <v>813</v>
      </c>
      <c r="E385" s="305" t="str">
        <f t="shared" si="11"/>
        <v>Линейность</v>
      </c>
    </row>
    <row r="386" spans="1:11">
      <c r="A386" s="1" t="str">
        <f t="shared" ref="A386:A449" ca="1" si="12">HLOOKUP(langchoose,LangMatrix,ROW(),0)</f>
        <v>Повторяемость</v>
      </c>
      <c r="B386" s="66" t="s">
        <v>739</v>
      </c>
      <c r="C386" s="66" t="s">
        <v>739</v>
      </c>
      <c r="D386" s="306" t="s">
        <v>814</v>
      </c>
      <c r="E386" s="305" t="str">
        <f t="shared" si="11"/>
        <v>Повторяемость</v>
      </c>
    </row>
    <row r="387" spans="1:11">
      <c r="A387" s="1" t="str">
        <f t="shared" ca="1" si="12"/>
        <v>Исполнение фланца</v>
      </c>
      <c r="B387" s="66" t="s">
        <v>56</v>
      </c>
      <c r="C387" s="66" t="s">
        <v>56</v>
      </c>
      <c r="D387" s="292" t="s">
        <v>815</v>
      </c>
      <c r="E387" s="305" t="str">
        <f t="shared" ref="E387:E450" si="13">D387</f>
        <v>Исполнение фланца</v>
      </c>
    </row>
    <row r="388" spans="1:11" s="70" customFormat="1">
      <c r="A388" s="1" t="str">
        <f t="shared" ca="1" si="12"/>
        <v>Класс фланца по давлению</v>
      </c>
      <c r="B388" s="66" t="s">
        <v>57</v>
      </c>
      <c r="C388" s="66" t="s">
        <v>57</v>
      </c>
      <c r="D388" s="292" t="s">
        <v>816</v>
      </c>
      <c r="E388" s="305" t="str">
        <f t="shared" si="13"/>
        <v>Класс фланца по давлению</v>
      </c>
      <c r="G388" s="66"/>
      <c r="H388" s="66"/>
      <c r="I388" s="66"/>
      <c r="J388" s="66"/>
      <c r="K388" s="66"/>
    </row>
    <row r="389" spans="1:11">
      <c r="A389" s="1" t="str">
        <f t="shared" ca="1" si="12"/>
        <v xml:space="preserve">Тип уплотнительной поверхности фланца </v>
      </c>
      <c r="B389" s="66" t="s">
        <v>353</v>
      </c>
      <c r="C389" s="66" t="s">
        <v>353</v>
      </c>
      <c r="D389" s="302" t="s">
        <v>929</v>
      </c>
      <c r="E389" s="305" t="str">
        <f t="shared" si="13"/>
        <v xml:space="preserve">Тип уплотнительной поверхности фланца </v>
      </c>
    </row>
    <row r="390" spans="1:11">
      <c r="A390" s="1" t="str">
        <f t="shared" ca="1" si="12"/>
        <v>Материал корпуса</v>
      </c>
      <c r="B390" s="66" t="s">
        <v>740</v>
      </c>
      <c r="C390" s="66" t="s">
        <v>740</v>
      </c>
      <c r="D390" s="292" t="s">
        <v>576</v>
      </c>
      <c r="E390" s="305" t="str">
        <f t="shared" si="13"/>
        <v>Материал корпуса</v>
      </c>
    </row>
    <row r="391" spans="1:11">
      <c r="A391" s="1" t="str">
        <f t="shared" ca="1" si="12"/>
        <v>Замена приемопередатчиков под давлением</v>
      </c>
      <c r="B391" s="70" t="s">
        <v>741</v>
      </c>
      <c r="C391" s="70" t="s">
        <v>741</v>
      </c>
      <c r="D391" s="302" t="s">
        <v>849</v>
      </c>
      <c r="E391" s="305" t="str">
        <f t="shared" si="13"/>
        <v>Замена приемопередатчиков под давлением</v>
      </c>
      <c r="G391" s="70"/>
      <c r="H391" s="70"/>
      <c r="I391" s="70"/>
      <c r="J391" s="70"/>
      <c r="K391" s="70"/>
    </row>
    <row r="392" spans="1:11">
      <c r="A392" s="1" t="str">
        <f t="shared" ca="1" si="12"/>
        <v>Материал кожуха приемопередатчиков</v>
      </c>
      <c r="B392" s="66" t="s">
        <v>365</v>
      </c>
      <c r="C392" s="66" t="s">
        <v>365</v>
      </c>
      <c r="D392" s="302" t="s">
        <v>850</v>
      </c>
      <c r="E392" s="305" t="str">
        <f t="shared" si="13"/>
        <v>Материал кожуха приемопередатчиков</v>
      </c>
    </row>
    <row r="393" spans="1:11">
      <c r="A393" s="1" t="str">
        <f t="shared" ca="1" si="12"/>
        <v>Расчетная температура</v>
      </c>
      <c r="B393" s="66" t="s">
        <v>829</v>
      </c>
      <c r="C393" s="66" t="s">
        <v>829</v>
      </c>
      <c r="D393" s="302" t="s">
        <v>930</v>
      </c>
      <c r="E393" s="305" t="str">
        <f t="shared" si="13"/>
        <v>Расчетная температура</v>
      </c>
    </row>
    <row r="394" spans="1:11">
      <c r="A394" s="1" t="str">
        <f t="shared" ca="1" si="12"/>
        <v>Расчетное давление (избыточное)</v>
      </c>
      <c r="B394" s="66" t="s">
        <v>34</v>
      </c>
      <c r="C394" s="66" t="s">
        <v>34</v>
      </c>
      <c r="D394" s="307" t="s">
        <v>851</v>
      </c>
      <c r="E394" s="305" t="str">
        <f t="shared" si="13"/>
        <v>Расчетное давление (избыточное)</v>
      </c>
    </row>
    <row r="395" spans="1:11">
      <c r="A395" s="1" t="str">
        <f t="shared" ca="1" si="12"/>
        <v>Сертификат на материал</v>
      </c>
      <c r="B395" s="66" t="s">
        <v>742</v>
      </c>
      <c r="C395" s="66" t="s">
        <v>742</v>
      </c>
      <c r="D395" s="292" t="s">
        <v>567</v>
      </c>
      <c r="E395" s="305" t="str">
        <f t="shared" si="13"/>
        <v>Сертификат на материал</v>
      </c>
    </row>
    <row r="396" spans="1:11">
      <c r="A396" s="1" t="str">
        <f t="shared" ca="1" si="12"/>
        <v>Степень защиты</v>
      </c>
      <c r="B396" s="66" t="s">
        <v>743</v>
      </c>
      <c r="C396" s="66" t="s">
        <v>743</v>
      </c>
      <c r="D396" s="302" t="s">
        <v>931</v>
      </c>
      <c r="E396" s="305" t="str">
        <f t="shared" si="13"/>
        <v>Степень защиты</v>
      </c>
    </row>
    <row r="397" spans="1:11">
      <c r="A397" s="1" t="str">
        <f t="shared" ca="1" si="12"/>
        <v>Внешнее покрытие/ покраска</v>
      </c>
      <c r="B397" s="66" t="s">
        <v>744</v>
      </c>
      <c r="C397" s="66" t="s">
        <v>744</v>
      </c>
      <c r="D397" s="302" t="s">
        <v>932</v>
      </c>
      <c r="E397" s="305" t="str">
        <f t="shared" si="13"/>
        <v>Внешнее покрытие/ покраска</v>
      </c>
    </row>
    <row r="398" spans="1:11">
      <c r="A398" s="1" t="str">
        <f t="shared" ca="1" si="12"/>
        <v>Отбор давления на корпусе</v>
      </c>
      <c r="B398" s="66" t="s">
        <v>151</v>
      </c>
      <c r="C398" s="66" t="s">
        <v>151</v>
      </c>
      <c r="D398" s="302" t="s">
        <v>852</v>
      </c>
      <c r="E398" s="305" t="str">
        <f t="shared" si="13"/>
        <v>Отбор давления на корпусе</v>
      </c>
    </row>
    <row r="399" spans="1:11">
      <c r="A399" s="1">
        <f t="shared" ca="1" si="12"/>
        <v>0</v>
      </c>
      <c r="D399" s="306"/>
      <c r="E399" s="305">
        <f t="shared" si="13"/>
        <v>0</v>
      </c>
    </row>
    <row r="400" spans="1:11">
      <c r="A400" s="1" t="str">
        <f t="shared" ca="1" si="12"/>
        <v>Ультразвуковые приемопередатчики</v>
      </c>
      <c r="B400" s="66" t="s">
        <v>745</v>
      </c>
      <c r="C400" s="66" t="s">
        <v>745</v>
      </c>
      <c r="D400" s="302" t="s">
        <v>853</v>
      </c>
      <c r="E400" s="305" t="str">
        <f t="shared" si="13"/>
        <v>Ультразвуковые приемопередатчики</v>
      </c>
    </row>
    <row r="401" spans="1:11">
      <c r="A401" s="1" t="str">
        <f t="shared" ca="1" si="12"/>
        <v>Материал приемопередатчиков</v>
      </c>
      <c r="B401" s="66" t="s">
        <v>746</v>
      </c>
      <c r="C401" s="66" t="s">
        <v>746</v>
      </c>
      <c r="D401" s="302" t="s">
        <v>854</v>
      </c>
      <c r="E401" s="305" t="str">
        <f t="shared" si="13"/>
        <v>Материал приемопередатчиков</v>
      </c>
    </row>
    <row r="402" spans="1:11">
      <c r="A402" s="1">
        <f t="shared" ca="1" si="12"/>
        <v>0</v>
      </c>
      <c r="D402" s="306"/>
      <c r="E402" s="305">
        <f t="shared" si="13"/>
        <v>0</v>
      </c>
    </row>
    <row r="403" spans="1:11" ht="25.5">
      <c r="A403" s="1" t="str">
        <f t="shared" ca="1" si="12"/>
        <v>Дополнительная информация: Параметры процесса и условия эксплуатации</v>
      </c>
      <c r="B403" s="70" t="s">
        <v>747</v>
      </c>
      <c r="C403" s="70" t="s">
        <v>747</v>
      </c>
      <c r="D403" s="311" t="s">
        <v>817</v>
      </c>
      <c r="E403" s="305" t="str">
        <f t="shared" si="13"/>
        <v>Дополнительная информация: Параметры процесса и условия эксплуатации</v>
      </c>
      <c r="G403" s="70"/>
      <c r="H403" s="70"/>
      <c r="I403" s="70"/>
      <c r="J403" s="70"/>
      <c r="K403" s="70"/>
    </row>
    <row r="404" spans="1:11">
      <c r="A404" s="1" t="str">
        <f t="shared" ca="1" si="12"/>
        <v>Объемный расход (р.у.)</v>
      </c>
      <c r="B404" s="66" t="s">
        <v>748</v>
      </c>
      <c r="C404" s="66" t="s">
        <v>748</v>
      </c>
      <c r="D404" s="307" t="s">
        <v>855</v>
      </c>
      <c r="E404" s="305" t="str">
        <f t="shared" si="13"/>
        <v>Объемный расход (р.у.)</v>
      </c>
    </row>
    <row r="405" spans="1:11">
      <c r="A405" s="1" t="str">
        <f t="shared" ca="1" si="12"/>
        <v>Давление (избыточное)</v>
      </c>
      <c r="B405" s="66" t="s">
        <v>749</v>
      </c>
      <c r="C405" s="66" t="s">
        <v>749</v>
      </c>
      <c r="D405" s="307" t="s">
        <v>856</v>
      </c>
      <c r="E405" s="305" t="str">
        <f t="shared" si="13"/>
        <v>Давление (избыточное)</v>
      </c>
    </row>
    <row r="406" spans="1:11" s="70" customFormat="1">
      <c r="A406" s="1" t="str">
        <f t="shared" ca="1" si="12"/>
        <v>Температура</v>
      </c>
      <c r="B406" s="66" t="s">
        <v>750</v>
      </c>
      <c r="C406" s="66" t="s">
        <v>750</v>
      </c>
      <c r="D406" s="306" t="s">
        <v>818</v>
      </c>
      <c r="E406" s="305" t="str">
        <f t="shared" si="13"/>
        <v>Температура</v>
      </c>
      <c r="G406" s="66"/>
      <c r="H406" s="66"/>
      <c r="I406" s="66"/>
      <c r="J406" s="66"/>
      <c r="K406" s="66"/>
    </row>
    <row r="407" spans="1:11" s="70" customFormat="1">
      <c r="A407" s="1" t="str">
        <f t="shared" ca="1" si="12"/>
        <v>Измеряемая среда</v>
      </c>
      <c r="B407" s="66" t="s">
        <v>724</v>
      </c>
      <c r="C407" s="66" t="s">
        <v>724</v>
      </c>
      <c r="D407" s="307" t="s">
        <v>541</v>
      </c>
      <c r="E407" s="305" t="str">
        <f t="shared" si="13"/>
        <v>Измеряемая среда</v>
      </c>
      <c r="G407" s="66"/>
      <c r="H407" s="66"/>
      <c r="I407" s="66"/>
      <c r="J407" s="66"/>
      <c r="K407" s="66"/>
    </row>
    <row r="408" spans="1:11" s="70" customFormat="1">
      <c r="A408" s="1" t="str">
        <f t="shared" ca="1" si="12"/>
        <v>Агрессивные компоненты</v>
      </c>
      <c r="B408" s="66" t="s">
        <v>751</v>
      </c>
      <c r="C408" s="66" t="s">
        <v>751</v>
      </c>
      <c r="D408" s="307" t="s">
        <v>933</v>
      </c>
      <c r="E408" s="305" t="str">
        <f t="shared" si="13"/>
        <v>Агрессивные компоненты</v>
      </c>
      <c r="G408" s="66"/>
      <c r="H408" s="66"/>
      <c r="I408" s="66"/>
      <c r="J408" s="66"/>
      <c r="K408" s="66"/>
    </row>
    <row r="409" spans="1:11">
      <c r="A409" s="1" t="str">
        <f t="shared" ca="1" si="12"/>
        <v>Содержание жидкости</v>
      </c>
      <c r="B409" s="66" t="s">
        <v>107</v>
      </c>
      <c r="C409" s="66" t="s">
        <v>107</v>
      </c>
      <c r="D409" s="307" t="s">
        <v>857</v>
      </c>
      <c r="E409" s="305" t="str">
        <f t="shared" si="13"/>
        <v>Содержание жидкости</v>
      </c>
    </row>
    <row r="410" spans="1:11">
      <c r="A410" s="1" t="str">
        <f t="shared" ca="1" si="12"/>
        <v>мин.</v>
      </c>
      <c r="B410" s="66" t="s">
        <v>717</v>
      </c>
      <c r="C410" s="66" t="s">
        <v>717</v>
      </c>
      <c r="D410" s="306" t="s">
        <v>631</v>
      </c>
      <c r="E410" s="305" t="str">
        <f t="shared" si="13"/>
        <v>мин.</v>
      </c>
    </row>
    <row r="411" spans="1:11">
      <c r="A411" s="1" t="str">
        <f t="shared" ca="1" si="12"/>
        <v>норм.</v>
      </c>
      <c r="B411" s="66" t="s">
        <v>718</v>
      </c>
      <c r="C411" s="66" t="s">
        <v>718</v>
      </c>
      <c r="D411" s="306" t="s">
        <v>819</v>
      </c>
      <c r="E411" s="305" t="str">
        <f t="shared" si="13"/>
        <v>норм.</v>
      </c>
    </row>
    <row r="412" spans="1:11">
      <c r="A412" s="1" t="str">
        <f t="shared" ca="1" si="12"/>
        <v>макс.</v>
      </c>
      <c r="B412" s="76" t="s">
        <v>719</v>
      </c>
      <c r="C412" s="76" t="s">
        <v>719</v>
      </c>
      <c r="D412" s="306" t="s">
        <v>820</v>
      </c>
      <c r="E412" s="305" t="str">
        <f t="shared" si="13"/>
        <v>макс.</v>
      </c>
    </row>
    <row r="413" spans="1:11">
      <c r="A413" s="1">
        <f t="shared" ca="1" si="12"/>
        <v>0</v>
      </c>
      <c r="B413" s="76"/>
      <c r="C413" s="76"/>
      <c r="D413" s="306"/>
      <c r="E413" s="305">
        <f t="shared" si="13"/>
        <v>0</v>
      </c>
    </row>
    <row r="414" spans="1:11">
      <c r="A414" s="1" t="str">
        <f t="shared" ca="1" si="12"/>
        <v>Тестирующая среда</v>
      </c>
      <c r="B414" s="66" t="s">
        <v>52</v>
      </c>
      <c r="C414" s="66" t="s">
        <v>52</v>
      </c>
      <c r="D414" s="292" t="s">
        <v>579</v>
      </c>
      <c r="E414" s="305" t="str">
        <f t="shared" si="13"/>
        <v>Тестирующая среда</v>
      </c>
    </row>
    <row r="415" spans="1:11">
      <c r="A415" s="1" t="str">
        <f t="shared" ca="1" si="12"/>
        <v>Диапазон калибровки</v>
      </c>
      <c r="B415" s="66" t="s">
        <v>752</v>
      </c>
      <c r="C415" s="66" t="s">
        <v>752</v>
      </c>
      <c r="D415" s="306" t="s">
        <v>821</v>
      </c>
      <c r="E415" s="305" t="str">
        <f t="shared" si="13"/>
        <v>Диапазон калибровки</v>
      </c>
    </row>
    <row r="416" spans="1:11">
      <c r="A416" s="1" t="str">
        <f t="shared" ca="1" si="12"/>
        <v>Калибровка под давлением</v>
      </c>
      <c r="B416" s="66" t="s">
        <v>53</v>
      </c>
      <c r="C416" s="66" t="s">
        <v>53</v>
      </c>
      <c r="D416" s="307" t="s">
        <v>934</v>
      </c>
      <c r="E416" s="305" t="str">
        <f t="shared" si="13"/>
        <v>Калибровка под давлением</v>
      </c>
    </row>
    <row r="417" spans="1:11">
      <c r="A417" s="1" t="str">
        <f t="shared" ca="1" si="12"/>
        <v>Точки калибровки</v>
      </c>
      <c r="B417" s="66" t="s">
        <v>146</v>
      </c>
      <c r="C417" s="66" t="s">
        <v>146</v>
      </c>
      <c r="D417" s="293" t="s">
        <v>822</v>
      </c>
      <c r="E417" s="305" t="str">
        <f t="shared" si="13"/>
        <v>Точки калибровки</v>
      </c>
    </row>
    <row r="418" spans="1:11">
      <c r="A418" s="1" t="str">
        <f t="shared" ca="1" si="12"/>
        <v>Сертификат</v>
      </c>
      <c r="B418" s="66" t="s">
        <v>989</v>
      </c>
      <c r="C418" s="66" t="s">
        <v>989</v>
      </c>
      <c r="D418" s="294" t="s">
        <v>581</v>
      </c>
      <c r="E418" s="305" t="str">
        <f t="shared" si="13"/>
        <v>Сертификат</v>
      </c>
    </row>
    <row r="419" spans="1:11">
      <c r="A419" s="1">
        <f t="shared" ca="1" si="12"/>
        <v>0</v>
      </c>
      <c r="D419" s="306"/>
      <c r="E419" s="305">
        <f t="shared" si="13"/>
        <v>0</v>
      </c>
    </row>
    <row r="420" spans="1:11" s="70" customFormat="1">
      <c r="A420" s="1" t="str">
        <f t="shared" ca="1" si="12"/>
        <v>Примечания</v>
      </c>
      <c r="B420" s="66" t="s">
        <v>767</v>
      </c>
      <c r="C420" s="66" t="s">
        <v>767</v>
      </c>
      <c r="D420" s="307" t="s">
        <v>935</v>
      </c>
      <c r="E420" s="305" t="str">
        <f t="shared" si="13"/>
        <v>Примечания</v>
      </c>
      <c r="G420" s="66"/>
      <c r="H420" s="66"/>
      <c r="I420" s="66"/>
      <c r="J420" s="66"/>
      <c r="K420" s="66"/>
    </row>
    <row r="421" spans="1:11" ht="25.5">
      <c r="A421" s="1" t="str">
        <f t="shared" ca="1" si="12"/>
        <v xml:space="preserve">Строки, отмеченные " * " содержат значения по умолчанию </v>
      </c>
      <c r="B421" s="70" t="s">
        <v>768</v>
      </c>
      <c r="C421" s="70" t="s">
        <v>768</v>
      </c>
      <c r="D421" s="313" t="s">
        <v>936</v>
      </c>
      <c r="E421" s="305" t="str">
        <f t="shared" si="13"/>
        <v xml:space="preserve">Строки, отмеченные " * " содержат значения по умолчанию </v>
      </c>
      <c r="G421" s="70"/>
      <c r="H421" s="70"/>
      <c r="I421" s="70"/>
      <c r="J421" s="70"/>
      <c r="K421" s="70"/>
    </row>
    <row r="422" spans="1:11" ht="38.25">
      <c r="A422" s="1" t="str">
        <f t="shared" ca="1" si="12"/>
        <v>Строки, отмеченные " ° " отвечают требованиям безопасности  в соответствии с 97/23/EC</v>
      </c>
      <c r="B422" s="70" t="s">
        <v>769</v>
      </c>
      <c r="C422" s="70" t="s">
        <v>769</v>
      </c>
      <c r="D422" s="314" t="s">
        <v>823</v>
      </c>
      <c r="E422" s="305" t="str">
        <f t="shared" si="13"/>
        <v>Строки, отмеченные " ° " отвечают требованиям безопасности  в соответствии с 97/23/EC</v>
      </c>
      <c r="G422" s="70"/>
      <c r="H422" s="70"/>
      <c r="I422" s="70"/>
      <c r="J422" s="70"/>
      <c r="K422" s="70"/>
    </row>
    <row r="423" spans="1:11">
      <c r="A423" s="1">
        <f t="shared" ca="1" si="12"/>
        <v>0</v>
      </c>
      <c r="B423" s="70"/>
      <c r="C423" s="70"/>
      <c r="D423" s="306"/>
      <c r="E423" s="305">
        <f t="shared" si="13"/>
        <v>0</v>
      </c>
      <c r="G423" s="70"/>
      <c r="H423" s="70"/>
      <c r="I423" s="70"/>
      <c r="J423" s="70"/>
      <c r="K423" s="70"/>
    </row>
    <row r="424" spans="1:11">
      <c r="A424" s="1" t="str">
        <f t="shared" ca="1" si="12"/>
        <v>Блок электроники</v>
      </c>
      <c r="B424" s="66" t="s">
        <v>753</v>
      </c>
      <c r="C424" s="66" t="s">
        <v>753</v>
      </c>
      <c r="D424" s="307" t="s">
        <v>908</v>
      </c>
      <c r="E424" s="305" t="str">
        <f t="shared" si="13"/>
        <v>Блок электроники</v>
      </c>
    </row>
    <row r="425" spans="1:11">
      <c r="A425" s="1" t="str">
        <f t="shared" ca="1" si="12"/>
        <v>Питание / Мощность</v>
      </c>
      <c r="B425" s="66" t="s">
        <v>830</v>
      </c>
      <c r="C425" s="66" t="s">
        <v>830</v>
      </c>
      <c r="D425" s="306" t="s">
        <v>937</v>
      </c>
      <c r="E425" s="305" t="str">
        <f t="shared" si="13"/>
        <v>Питание / Мощность</v>
      </c>
    </row>
    <row r="426" spans="1:11">
      <c r="A426" s="1" t="str">
        <f t="shared" ca="1" si="12"/>
        <v>Степень защиты</v>
      </c>
      <c r="B426" s="66" t="s">
        <v>743</v>
      </c>
      <c r="C426" s="66" t="s">
        <v>743</v>
      </c>
      <c r="D426" s="292" t="s">
        <v>931</v>
      </c>
      <c r="E426" s="305" t="str">
        <f t="shared" si="13"/>
        <v>Степень защиты</v>
      </c>
    </row>
    <row r="427" spans="1:11">
      <c r="A427" s="1" t="str">
        <f t="shared" ca="1" si="12"/>
        <v>Кабельные вводы</v>
      </c>
      <c r="B427" s="66" t="s">
        <v>755</v>
      </c>
      <c r="C427" s="66" t="s">
        <v>755</v>
      </c>
      <c r="D427" s="307" t="s">
        <v>938</v>
      </c>
      <c r="E427" s="305" t="str">
        <f t="shared" si="13"/>
        <v>Кабельные вводы</v>
      </c>
    </row>
    <row r="428" spans="1:11">
      <c r="A428" s="1" t="str">
        <f t="shared" ca="1" si="12"/>
        <v>Маркировка взрывозащиты</v>
      </c>
      <c r="B428" s="66" t="s">
        <v>756</v>
      </c>
      <c r="C428" s="66" t="s">
        <v>756</v>
      </c>
      <c r="D428" s="307" t="s">
        <v>858</v>
      </c>
      <c r="E428" s="305" t="str">
        <f t="shared" si="13"/>
        <v>Маркировка взрывозащиты</v>
      </c>
    </row>
    <row r="429" spans="1:11">
      <c r="A429" s="1" t="str">
        <f t="shared" ca="1" si="12"/>
        <v>Материал блока БОС</v>
      </c>
      <c r="B429" s="66" t="s">
        <v>245</v>
      </c>
      <c r="C429" s="66" t="s">
        <v>245</v>
      </c>
      <c r="D429" s="307" t="s">
        <v>1278</v>
      </c>
      <c r="E429" s="305" t="str">
        <f t="shared" si="13"/>
        <v>Материал блока БОС</v>
      </c>
    </row>
    <row r="430" spans="1:11">
      <c r="A430" s="1" t="str">
        <f t="shared" ca="1" si="12"/>
        <v>Диапазон температуры окр. Среды</v>
      </c>
      <c r="B430" s="66" t="s">
        <v>757</v>
      </c>
      <c r="C430" s="66" t="s">
        <v>757</v>
      </c>
      <c r="D430" s="307" t="s">
        <v>939</v>
      </c>
      <c r="E430" s="305" t="str">
        <f t="shared" si="13"/>
        <v>Диапазон температуры окр. Среды</v>
      </c>
    </row>
    <row r="431" spans="1:11">
      <c r="A431" s="1" t="str">
        <f t="shared" ca="1" si="12"/>
        <v>Передняя панель</v>
      </c>
      <c r="B431" s="66" t="s">
        <v>221</v>
      </c>
      <c r="C431" s="66" t="s">
        <v>221</v>
      </c>
      <c r="D431" s="307" t="s">
        <v>909</v>
      </c>
      <c r="E431" s="305" t="str">
        <f t="shared" si="13"/>
        <v>Передняя панель</v>
      </c>
    </row>
    <row r="432" spans="1:11">
      <c r="A432" s="1" t="str">
        <f t="shared" ca="1" si="12"/>
        <v>Язык дисплея (только для ЖК дисплеев)</v>
      </c>
      <c r="B432" s="66" t="s">
        <v>758</v>
      </c>
      <c r="C432" s="66" t="s">
        <v>758</v>
      </c>
      <c r="D432" s="307" t="s">
        <v>1276</v>
      </c>
      <c r="E432" s="305" t="str">
        <f t="shared" si="13"/>
        <v>Язык дисплея (только для ЖК дисплеев)</v>
      </c>
    </row>
    <row r="433" spans="1:11">
      <c r="A433" s="1" t="str">
        <f t="shared" ca="1" si="12"/>
        <v>Единицы измерения</v>
      </c>
      <c r="B433" s="66" t="s">
        <v>54</v>
      </c>
      <c r="C433" s="66" t="s">
        <v>54</v>
      </c>
      <c r="D433" s="297" t="s">
        <v>824</v>
      </c>
      <c r="E433" s="305" t="str">
        <f t="shared" si="13"/>
        <v>Единицы измерения</v>
      </c>
    </row>
    <row r="434" spans="1:11">
      <c r="A434" s="1">
        <f t="shared" ca="1" si="12"/>
        <v>0</v>
      </c>
      <c r="D434" s="306"/>
      <c r="E434" s="305">
        <f t="shared" si="13"/>
        <v>0</v>
      </c>
    </row>
    <row r="435" spans="1:11" ht="25.5">
      <c r="A435" s="1" t="str">
        <f t="shared" ca="1" si="12"/>
        <v>Конфигурация выходов блока обработки данных</v>
      </c>
      <c r="B435" s="70" t="s">
        <v>759</v>
      </c>
      <c r="C435" s="70" t="s">
        <v>759</v>
      </c>
      <c r="D435" s="313" t="s">
        <v>1277</v>
      </c>
      <c r="E435" s="305" t="str">
        <f t="shared" si="13"/>
        <v>Конфигурация выходов блока обработки данных</v>
      </c>
      <c r="G435" s="70"/>
      <c r="H435" s="70"/>
      <c r="I435" s="70"/>
      <c r="J435" s="70"/>
      <c r="K435" s="70"/>
    </row>
    <row r="436" spans="1:11">
      <c r="A436" s="1" t="str">
        <f t="shared" ca="1" si="12"/>
        <v>DO0/AO0 Клеммы 31/32</v>
      </c>
      <c r="B436" s="66" t="s">
        <v>794</v>
      </c>
      <c r="C436" s="66" t="s">
        <v>794</v>
      </c>
      <c r="D436" s="294" t="s">
        <v>940</v>
      </c>
      <c r="E436" s="305" t="str">
        <f t="shared" si="13"/>
        <v>DO0/AO0 Клеммы 31/32</v>
      </c>
    </row>
    <row r="437" spans="1:11">
      <c r="A437" s="1" t="str">
        <f t="shared" ca="1" si="12"/>
        <v>Конфигурация сигнала</v>
      </c>
      <c r="B437" s="66" t="s">
        <v>760</v>
      </c>
      <c r="C437" s="66" t="s">
        <v>760</v>
      </c>
      <c r="D437" s="315" t="s">
        <v>825</v>
      </c>
      <c r="E437" s="305" t="str">
        <f t="shared" si="13"/>
        <v>Конфигурация сигнала</v>
      </c>
    </row>
    <row r="438" spans="1:11">
      <c r="A438" s="1" t="str">
        <f t="shared" ca="1" si="12"/>
        <v>HART 31/32</v>
      </c>
      <c r="B438" s="66" t="s">
        <v>761</v>
      </c>
      <c r="C438" s="66" t="s">
        <v>761</v>
      </c>
      <c r="D438" s="315" t="s">
        <v>826</v>
      </c>
      <c r="E438" s="305" t="str">
        <f t="shared" si="13"/>
        <v>HART 31/32</v>
      </c>
    </row>
    <row r="439" spans="1:11">
      <c r="A439" s="1" t="str">
        <f t="shared" ca="1" si="12"/>
        <v>Верхнее знач. аналог. вых.</v>
      </c>
      <c r="B439" s="66" t="s">
        <v>762</v>
      </c>
      <c r="C439" s="66" t="s">
        <v>762</v>
      </c>
      <c r="D439" s="307" t="s">
        <v>941</v>
      </c>
      <c r="E439" s="305" t="str">
        <f t="shared" si="13"/>
        <v>Верхнее знач. аналог. вых.</v>
      </c>
    </row>
    <row r="440" spans="1:11">
      <c r="A440" s="1" t="str">
        <f t="shared" ca="1" si="12"/>
        <v>Нижнее знач. аналог. вых.</v>
      </c>
      <c r="B440" s="66" t="s">
        <v>763</v>
      </c>
      <c r="C440" s="66" t="s">
        <v>763</v>
      </c>
      <c r="D440" s="307" t="s">
        <v>942</v>
      </c>
      <c r="E440" s="305" t="str">
        <f t="shared" si="13"/>
        <v>Нижнее знач. аналог. вых.</v>
      </c>
    </row>
    <row r="441" spans="1:11">
      <c r="A441" s="1" t="str">
        <f t="shared" ca="1" si="12"/>
        <v>Сигнал тревоги</v>
      </c>
      <c r="B441" s="66" t="s">
        <v>179</v>
      </c>
      <c r="C441" s="66" t="s">
        <v>179</v>
      </c>
      <c r="D441" s="316" t="s">
        <v>613</v>
      </c>
      <c r="E441" s="305" t="str">
        <f t="shared" si="13"/>
        <v>Сигнал тревоги</v>
      </c>
    </row>
    <row r="442" spans="1:11">
      <c r="A442" s="1" t="str">
        <f t="shared" ca="1" si="12"/>
        <v>MOD Клеммы 33/34</v>
      </c>
      <c r="B442" s="66" t="s">
        <v>798</v>
      </c>
      <c r="C442" s="66" t="s">
        <v>798</v>
      </c>
      <c r="D442" s="294" t="s">
        <v>943</v>
      </c>
      <c r="E442" s="305" t="str">
        <f t="shared" si="13"/>
        <v>MOD Клеммы 33/34</v>
      </c>
    </row>
    <row r="443" spans="1:11" s="70" customFormat="1">
      <c r="A443" s="1" t="str">
        <f t="shared" ca="1" si="12"/>
        <v>DO1 Клеммы 51/52</v>
      </c>
      <c r="B443" s="66" t="s">
        <v>795</v>
      </c>
      <c r="C443" s="66" t="s">
        <v>795</v>
      </c>
      <c r="D443" s="294" t="s">
        <v>944</v>
      </c>
      <c r="E443" s="305" t="str">
        <f t="shared" si="13"/>
        <v>DO1 Клеммы 51/52</v>
      </c>
      <c r="G443" s="66"/>
      <c r="H443" s="66"/>
      <c r="I443" s="66"/>
      <c r="J443" s="66"/>
      <c r="K443" s="66"/>
    </row>
    <row r="444" spans="1:11" s="70" customFormat="1">
      <c r="A444" s="1" t="str">
        <f t="shared" ca="1" si="12"/>
        <v>Вес импульса (пок. измерений)</v>
      </c>
      <c r="B444" s="66" t="s">
        <v>764</v>
      </c>
      <c r="C444" s="66" t="s">
        <v>764</v>
      </c>
      <c r="D444" s="302" t="s">
        <v>945</v>
      </c>
      <c r="E444" s="305" t="str">
        <f t="shared" si="13"/>
        <v>Вес импульса (пок. измерений)</v>
      </c>
      <c r="G444" s="66"/>
      <c r="H444" s="66"/>
      <c r="I444" s="66"/>
      <c r="J444" s="66"/>
      <c r="K444" s="66"/>
    </row>
    <row r="445" spans="1:11" s="70" customFormat="1">
      <c r="A445" s="1" t="str">
        <f t="shared" ca="1" si="12"/>
        <v>Конфигурация сигнала</v>
      </c>
      <c r="B445" s="66" t="s">
        <v>760</v>
      </c>
      <c r="C445" s="66" t="s">
        <v>760</v>
      </c>
      <c r="D445" s="306" t="s">
        <v>825</v>
      </c>
      <c r="E445" s="305" t="str">
        <f t="shared" si="13"/>
        <v>Конфигурация сигнала</v>
      </c>
      <c r="G445" s="66"/>
      <c r="H445" s="66"/>
      <c r="I445" s="66"/>
      <c r="J445" s="66"/>
      <c r="K445" s="66"/>
    </row>
    <row r="446" spans="1:11" s="70" customFormat="1">
      <c r="A446" s="1" t="str">
        <f t="shared" ca="1" si="12"/>
        <v>макс. выход</v>
      </c>
      <c r="B446" s="66" t="s">
        <v>720</v>
      </c>
      <c r="C446" s="66" t="s">
        <v>720</v>
      </c>
      <c r="D446" s="307" t="s">
        <v>946</v>
      </c>
      <c r="E446" s="305" t="str">
        <f t="shared" si="13"/>
        <v>макс. выход</v>
      </c>
      <c r="G446" s="66"/>
      <c r="H446" s="66"/>
      <c r="I446" s="66"/>
      <c r="J446" s="66"/>
      <c r="K446" s="66"/>
    </row>
    <row r="447" spans="1:11" s="70" customFormat="1">
      <c r="A447" s="1" t="str">
        <f t="shared" ca="1" si="12"/>
        <v>DO2 Клеммы 41/42</v>
      </c>
      <c r="B447" s="66" t="s">
        <v>797</v>
      </c>
      <c r="C447" s="66" t="s">
        <v>797</v>
      </c>
      <c r="D447" s="294" t="s">
        <v>947</v>
      </c>
      <c r="E447" s="305" t="str">
        <f t="shared" si="13"/>
        <v>DO2 Клеммы 41/42</v>
      </c>
      <c r="G447" s="66"/>
      <c r="H447" s="66"/>
      <c r="I447" s="66"/>
      <c r="J447" s="66"/>
      <c r="K447" s="66"/>
    </row>
    <row r="448" spans="1:11" s="70" customFormat="1">
      <c r="A448" s="1" t="str">
        <f t="shared" ca="1" si="12"/>
        <v>Конфигурация сигнала</v>
      </c>
      <c r="B448" s="66" t="s">
        <v>760</v>
      </c>
      <c r="C448" s="66" t="s">
        <v>760</v>
      </c>
      <c r="D448" s="306" t="s">
        <v>825</v>
      </c>
      <c r="E448" s="305" t="str">
        <f t="shared" si="13"/>
        <v>Конфигурация сигнала</v>
      </c>
      <c r="G448" s="66"/>
      <c r="H448" s="66"/>
      <c r="I448" s="66"/>
      <c r="J448" s="66"/>
      <c r="K448" s="66"/>
    </row>
    <row r="449" spans="1:11" s="70" customFormat="1">
      <c r="A449" s="1" t="str">
        <f t="shared" ca="1" si="12"/>
        <v>макс. выход</v>
      </c>
      <c r="B449" s="66" t="s">
        <v>720</v>
      </c>
      <c r="C449" s="66" t="s">
        <v>720</v>
      </c>
      <c r="D449" s="307" t="s">
        <v>946</v>
      </c>
      <c r="E449" s="305" t="str">
        <f t="shared" si="13"/>
        <v>макс. выход</v>
      </c>
      <c r="G449" s="66"/>
      <c r="H449" s="66"/>
      <c r="I449" s="66"/>
      <c r="J449" s="66"/>
      <c r="K449" s="66"/>
    </row>
    <row r="450" spans="1:11" s="70" customFormat="1">
      <c r="A450" s="1" t="str">
        <f t="shared" ref="A450:A513" ca="1" si="14">HLOOKUP(langchoose,LangMatrix,ROW(),0)</f>
        <v>DO3 Клеммы 81/82</v>
      </c>
      <c r="B450" s="66" t="s">
        <v>796</v>
      </c>
      <c r="C450" s="66" t="s">
        <v>796</v>
      </c>
      <c r="D450" s="294" t="s">
        <v>948</v>
      </c>
      <c r="E450" s="305" t="str">
        <f t="shared" si="13"/>
        <v>DO3 Клеммы 81/82</v>
      </c>
      <c r="G450" s="66"/>
      <c r="H450" s="66"/>
      <c r="I450" s="66"/>
      <c r="J450" s="66"/>
      <c r="K450" s="66"/>
    </row>
    <row r="451" spans="1:11" s="70" customFormat="1">
      <c r="A451" s="1" t="str">
        <f t="shared" ca="1" si="14"/>
        <v>Конфигурация сигнала</v>
      </c>
      <c r="B451" s="66" t="s">
        <v>760</v>
      </c>
      <c r="C451" s="66" t="s">
        <v>760</v>
      </c>
      <c r="D451" s="306" t="s">
        <v>825</v>
      </c>
      <c r="E451" s="305" t="str">
        <f t="shared" ref="E451:E514" si="15">D451</f>
        <v>Конфигурация сигнала</v>
      </c>
      <c r="G451" s="66"/>
      <c r="H451" s="66"/>
      <c r="I451" s="66"/>
      <c r="J451" s="66"/>
      <c r="K451" s="66"/>
    </row>
    <row r="452" spans="1:11">
      <c r="A452" s="1" t="str">
        <f t="shared" ca="1" si="14"/>
        <v>макс. выход</v>
      </c>
      <c r="B452" s="66" t="s">
        <v>720</v>
      </c>
      <c r="C452" s="66" t="s">
        <v>720</v>
      </c>
      <c r="D452" s="307" t="s">
        <v>946</v>
      </c>
      <c r="E452" s="305" t="str">
        <f t="shared" si="15"/>
        <v>макс. выход</v>
      </c>
    </row>
    <row r="453" spans="1:11">
      <c r="A453" s="1">
        <f t="shared" ca="1" si="14"/>
        <v>0</v>
      </c>
      <c r="D453" s="306"/>
      <c r="E453" s="305">
        <f t="shared" si="15"/>
        <v>0</v>
      </c>
    </row>
    <row r="454" spans="1:11">
      <c r="A454" s="1" t="str">
        <f t="shared" ca="1" si="14"/>
        <v>Коммуникация</v>
      </c>
      <c r="B454" s="66" t="s">
        <v>765</v>
      </c>
      <c r="C454" s="66" t="s">
        <v>765</v>
      </c>
      <c r="D454" s="307" t="s">
        <v>949</v>
      </c>
      <c r="E454" s="305" t="str">
        <f t="shared" si="15"/>
        <v>Коммуникация</v>
      </c>
    </row>
    <row r="455" spans="1:11">
      <c r="A455" s="1" t="str">
        <f t="shared" ca="1" si="14"/>
        <v>Интерфейс</v>
      </c>
      <c r="B455" s="66" t="s">
        <v>721</v>
      </c>
      <c r="C455" s="66" t="s">
        <v>721</v>
      </c>
      <c r="D455" s="306" t="s">
        <v>660</v>
      </c>
      <c r="E455" s="305" t="str">
        <f t="shared" si="15"/>
        <v>Интерфейс</v>
      </c>
    </row>
    <row r="456" spans="1:11">
      <c r="A456" s="1" t="str">
        <f t="shared" ca="1" si="14"/>
        <v>Протокол</v>
      </c>
      <c r="B456" s="66" t="s">
        <v>766</v>
      </c>
      <c r="C456" s="66" t="s">
        <v>766</v>
      </c>
      <c r="D456" s="306" t="s">
        <v>827</v>
      </c>
      <c r="E456" s="305" t="str">
        <f t="shared" si="15"/>
        <v>Протокол</v>
      </c>
    </row>
    <row r="457" spans="1:11">
      <c r="A457" s="1">
        <f t="shared" ca="1" si="14"/>
        <v>0</v>
      </c>
      <c r="D457" s="306"/>
      <c r="E457" s="305">
        <f t="shared" si="15"/>
        <v>0</v>
      </c>
    </row>
    <row r="458" spans="1:11" ht="76.5">
      <c r="A458" s="1" t="str">
        <f ca="1">HLOOKUP(langchoose,LangMatrix,ROW(),0)</f>
        <v>Данная тех. спецификация создана на основании заполненного опросного листа и служит основанием для заказа. Недостающая информация была/будет дополнена специалистами ООО "КТМ-Сервис" и помечена ''*''.</v>
      </c>
      <c r="B458" s="70" t="s">
        <v>1312</v>
      </c>
      <c r="C458" s="70" t="s">
        <v>1312</v>
      </c>
      <c r="D458" s="313" t="s">
        <v>1279</v>
      </c>
      <c r="E458" s="305" t="str">
        <f t="shared" si="15"/>
        <v>Данная тех. спецификация создана на основании заполненного опросного листа и служит основанием для заказа. Недостающая информация была/будет дополнена специалистами ООО "КТМ-Сервис" и помечена ''*''.</v>
      </c>
      <c r="G458" s="70"/>
      <c r="H458" s="70"/>
      <c r="I458" s="70"/>
      <c r="J458" s="70"/>
      <c r="K458" s="70"/>
    </row>
    <row r="459" spans="1:11" ht="25.5">
      <c r="A459" s="1" t="str">
        <f t="shared" ca="1" si="14"/>
        <v xml:space="preserve">Срок изготовления, после подтверждения данной спецификации, составляет </v>
      </c>
      <c r="B459" s="70" t="s">
        <v>770</v>
      </c>
      <c r="C459" s="70" t="s">
        <v>770</v>
      </c>
      <c r="D459" s="313" t="s">
        <v>950</v>
      </c>
      <c r="E459" s="305" t="str">
        <f t="shared" si="15"/>
        <v xml:space="preserve">Срок изготовления, после подтверждения данной спецификации, составляет </v>
      </c>
      <c r="G459" s="70"/>
      <c r="H459" s="70"/>
      <c r="I459" s="70"/>
      <c r="J459" s="70"/>
      <c r="K459" s="70"/>
    </row>
    <row r="460" spans="1:11">
      <c r="A460" s="1" t="str">
        <f t="shared" ca="1" si="14"/>
        <v>недель.</v>
      </c>
      <c r="B460" s="70" t="s">
        <v>754</v>
      </c>
      <c r="C460" s="70" t="s">
        <v>754</v>
      </c>
      <c r="D460" s="312" t="s">
        <v>828</v>
      </c>
      <c r="E460" s="305" t="str">
        <f t="shared" si="15"/>
        <v>недель.</v>
      </c>
      <c r="G460" s="70"/>
      <c r="H460" s="70"/>
      <c r="I460" s="70"/>
      <c r="J460" s="70"/>
      <c r="K460" s="70"/>
    </row>
    <row r="461" spans="1:11" ht="102">
      <c r="A461" s="1" t="str">
        <f t="shared" ca="1" si="14"/>
        <v xml:space="preserve">Последующие изменения в тех. спецификации должны быть согласованны с ООО "КТМ-Сервис". При внесении изменений в данную спецификации ответственность за увеличение сроков поставки лежит на стороне заказчика. Любые изменения, влекущие увеличение стоимости, должны быть дополнительно оплачены.  </v>
      </c>
      <c r="B461" s="70" t="s">
        <v>1280</v>
      </c>
      <c r="C461" s="70" t="s">
        <v>1280</v>
      </c>
      <c r="D461" s="313" t="s">
        <v>1281</v>
      </c>
      <c r="E461" s="305" t="str">
        <f t="shared" si="15"/>
        <v xml:space="preserve">Последующие изменения в тех. спецификации должны быть согласованны с ООО "КТМ-Сервис". При внесении изменений в данную спецификации ответственность за увеличение сроков поставки лежит на стороне заказчика. Любые изменения, влекущие увеличение стоимости, должны быть дополнительно оплачены.  </v>
      </c>
      <c r="G461" s="70"/>
      <c r="H461" s="70"/>
      <c r="I461" s="70"/>
      <c r="J461" s="70"/>
      <c r="K461" s="70"/>
    </row>
    <row r="462" spans="1:11">
      <c r="A462" s="1">
        <f t="shared" ca="1" si="14"/>
        <v>0</v>
      </c>
      <c r="B462" s="70"/>
      <c r="C462" s="70"/>
      <c r="D462" s="306"/>
      <c r="E462" s="305">
        <f t="shared" si="15"/>
        <v>0</v>
      </c>
      <c r="G462" s="70"/>
      <c r="H462" s="70"/>
      <c r="I462" s="70"/>
      <c r="J462" s="70"/>
      <c r="K462" s="70"/>
    </row>
    <row r="463" spans="1:11">
      <c r="A463" s="1" t="str">
        <f t="shared" ca="1" si="14"/>
        <v>Разработано</v>
      </c>
      <c r="B463" s="70" t="s">
        <v>771</v>
      </c>
      <c r="C463" s="70" t="s">
        <v>771</v>
      </c>
      <c r="D463" s="313" t="s">
        <v>951</v>
      </c>
      <c r="E463" s="305" t="str">
        <f t="shared" si="15"/>
        <v>Разработано</v>
      </c>
      <c r="G463" s="70"/>
      <c r="H463" s="70"/>
      <c r="I463" s="70"/>
      <c r="J463" s="70"/>
      <c r="K463" s="70"/>
    </row>
    <row r="464" spans="1:11">
      <c r="A464" s="1" t="str">
        <f t="shared" ca="1" si="14"/>
        <v>Заказчик / Название проекта</v>
      </c>
      <c r="B464" s="70" t="s">
        <v>772</v>
      </c>
      <c r="C464" s="70" t="s">
        <v>772</v>
      </c>
      <c r="D464" s="313" t="s">
        <v>952</v>
      </c>
      <c r="E464" s="305" t="str">
        <f t="shared" si="15"/>
        <v>Заказчик / Название проекта</v>
      </c>
      <c r="G464" s="70"/>
      <c r="H464" s="70"/>
      <c r="I464" s="70"/>
      <c r="J464" s="70"/>
      <c r="K464" s="70"/>
    </row>
    <row r="465" spans="1:11">
      <c r="A465" s="1" t="str">
        <f t="shared" ca="1" si="14"/>
        <v>Дата</v>
      </c>
      <c r="B465" s="70" t="s">
        <v>13</v>
      </c>
      <c r="C465" s="70" t="s">
        <v>13</v>
      </c>
      <c r="D465" s="312" t="s">
        <v>537</v>
      </c>
      <c r="E465" s="305" t="str">
        <f t="shared" si="15"/>
        <v>Дата</v>
      </c>
      <c r="G465" s="70"/>
      <c r="H465" s="70"/>
      <c r="I465" s="70"/>
      <c r="J465" s="70"/>
      <c r="K465" s="70"/>
    </row>
    <row r="466" spans="1:11">
      <c r="A466" s="1" t="str">
        <f t="shared" ca="1" si="14"/>
        <v>№ Ревизии</v>
      </c>
      <c r="B466" s="70" t="s">
        <v>725</v>
      </c>
      <c r="C466" s="70" t="s">
        <v>725</v>
      </c>
      <c r="D466" s="313" t="s">
        <v>953</v>
      </c>
      <c r="E466" s="305" t="str">
        <f t="shared" si="15"/>
        <v>№ Ревизии</v>
      </c>
      <c r="G466" s="70"/>
      <c r="H466" s="70"/>
      <c r="I466" s="70"/>
      <c r="J466" s="70"/>
      <c r="K466" s="70"/>
    </row>
    <row r="467" spans="1:11">
      <c r="A467" s="1">
        <f t="shared" ca="1" si="14"/>
        <v>0</v>
      </c>
      <c r="D467" s="296"/>
      <c r="E467" s="305">
        <f t="shared" si="15"/>
        <v>0</v>
      </c>
    </row>
    <row r="468" spans="1:11">
      <c r="A468" s="1">
        <f t="shared" ca="1" si="14"/>
        <v>0</v>
      </c>
      <c r="D468" s="296"/>
      <c r="E468" s="305">
        <f t="shared" si="15"/>
        <v>0</v>
      </c>
    </row>
    <row r="469" spans="1:11" ht="14.25">
      <c r="A469" s="1" t="str">
        <f t="shared" ca="1" si="14"/>
        <v>кг/м³</v>
      </c>
      <c r="B469" s="11" t="s">
        <v>1213</v>
      </c>
      <c r="C469" s="11" t="s">
        <v>32</v>
      </c>
      <c r="D469" s="317" t="s">
        <v>519</v>
      </c>
      <c r="E469" s="305" t="str">
        <f t="shared" si="15"/>
        <v>кг/м³</v>
      </c>
    </row>
    <row r="470" spans="1:11" ht="14.25">
      <c r="A470" s="1" t="str">
        <f t="shared" ca="1" si="14"/>
        <v>г/м3</v>
      </c>
      <c r="B470" s="11" t="s">
        <v>1212</v>
      </c>
      <c r="C470" s="11" t="s">
        <v>1023</v>
      </c>
      <c r="D470" s="318" t="s">
        <v>1156</v>
      </c>
      <c r="E470" s="305" t="str">
        <f t="shared" si="15"/>
        <v>г/м3</v>
      </c>
    </row>
    <row r="471" spans="1:11" ht="14.25">
      <c r="A471" s="1" t="str">
        <f t="shared" ca="1" si="14"/>
        <v>lbs/aft³</v>
      </c>
      <c r="B471" s="11" t="s">
        <v>1103</v>
      </c>
      <c r="C471" s="11" t="s">
        <v>1103</v>
      </c>
      <c r="D471" s="11" t="s">
        <v>1103</v>
      </c>
      <c r="E471" s="305" t="str">
        <f t="shared" si="15"/>
        <v>lbs/aft³</v>
      </c>
    </row>
    <row r="472" spans="1:11" ht="14.25">
      <c r="A472" s="1">
        <f t="shared" ca="1" si="14"/>
        <v>0</v>
      </c>
      <c r="B472" s="11"/>
      <c r="C472" s="11"/>
      <c r="D472" s="308"/>
      <c r="E472" s="305">
        <f t="shared" si="15"/>
        <v>0</v>
      </c>
    </row>
    <row r="473" spans="1:11" ht="14.25">
      <c r="A473" s="1">
        <f t="shared" ca="1" si="14"/>
        <v>0</v>
      </c>
      <c r="B473" s="230"/>
      <c r="C473" s="230"/>
      <c r="D473" s="296"/>
      <c r="E473" s="305">
        <f t="shared" si="15"/>
        <v>0</v>
      </c>
    </row>
    <row r="474" spans="1:11" ht="14.25">
      <c r="A474" s="1">
        <f t="shared" ca="1" si="14"/>
        <v>0</v>
      </c>
      <c r="B474" s="230"/>
      <c r="C474" s="230"/>
      <c r="D474" s="296"/>
      <c r="E474" s="305">
        <f t="shared" si="15"/>
        <v>0</v>
      </c>
    </row>
    <row r="475" spans="1:11" ht="14.25">
      <c r="A475" s="1">
        <f t="shared" ca="1" si="14"/>
        <v>0</v>
      </c>
      <c r="B475" s="230"/>
      <c r="C475" s="230"/>
      <c r="D475" s="296"/>
      <c r="E475" s="305">
        <f t="shared" si="15"/>
        <v>0</v>
      </c>
    </row>
    <row r="476" spans="1:11" ht="14.25">
      <c r="A476" s="1">
        <f t="shared" ca="1" si="14"/>
        <v>0</v>
      </c>
      <c r="B476" s="11"/>
      <c r="C476" s="234"/>
      <c r="D476" s="296"/>
      <c r="E476" s="305">
        <f t="shared" si="15"/>
        <v>0</v>
      </c>
    </row>
    <row r="477" spans="1:11" ht="14.25">
      <c r="A477" s="1" t="str">
        <f t="shared" ca="1" si="14"/>
        <v>об.%</v>
      </c>
      <c r="B477" s="11" t="s">
        <v>1047</v>
      </c>
      <c r="C477" s="11" t="s">
        <v>1047</v>
      </c>
      <c r="D477" s="317" t="s">
        <v>628</v>
      </c>
      <c r="E477" s="305" t="str">
        <f t="shared" si="15"/>
        <v>об.%</v>
      </c>
      <c r="H477" s="11"/>
    </row>
    <row r="478" spans="1:11" ht="14.25">
      <c r="A478" s="1" t="str">
        <f t="shared" ca="1" si="14"/>
        <v>ppm</v>
      </c>
      <c r="B478" s="11" t="s">
        <v>1048</v>
      </c>
      <c r="C478" s="11" t="s">
        <v>1048</v>
      </c>
      <c r="D478" s="318" t="s">
        <v>1048</v>
      </c>
      <c r="E478" s="305" t="str">
        <f t="shared" si="15"/>
        <v>ppm</v>
      </c>
      <c r="H478" s="11"/>
    </row>
    <row r="479" spans="1:11" ht="14.25">
      <c r="A479" s="1" t="str">
        <f t="shared" ca="1" si="14"/>
        <v>г/м3</v>
      </c>
      <c r="B479" s="11" t="s">
        <v>1023</v>
      </c>
      <c r="C479" s="11" t="s">
        <v>1023</v>
      </c>
      <c r="D479" s="318" t="s">
        <v>1156</v>
      </c>
      <c r="E479" s="305" t="str">
        <f t="shared" si="15"/>
        <v>г/м3</v>
      </c>
      <c r="H479" s="11"/>
    </row>
    <row r="480" spans="1:11" ht="14.25">
      <c r="A480" s="1" t="str">
        <f t="shared" ca="1" si="14"/>
        <v>г/Нм3</v>
      </c>
      <c r="B480" s="11" t="s">
        <v>662</v>
      </c>
      <c r="C480" s="11" t="s">
        <v>662</v>
      </c>
      <c r="D480" s="318" t="s">
        <v>1157</v>
      </c>
      <c r="E480" s="305" t="str">
        <f t="shared" si="15"/>
        <v>г/Нм3</v>
      </c>
      <c r="H480" s="11"/>
    </row>
    <row r="481" spans="1:8" ht="14.25">
      <c r="A481" s="1" t="str">
        <f t="shared" ca="1" si="14"/>
        <v>Lb/ft³</v>
      </c>
      <c r="B481" s="11" t="s">
        <v>1100</v>
      </c>
      <c r="C481" s="11" t="s">
        <v>1100</v>
      </c>
      <c r="D481" s="318" t="s">
        <v>1100</v>
      </c>
      <c r="E481" s="305" t="str">
        <f t="shared" si="15"/>
        <v>Lb/ft³</v>
      </c>
      <c r="H481" s="11"/>
    </row>
    <row r="482" spans="1:8" ht="14.25">
      <c r="A482" s="1">
        <f t="shared" ca="1" si="14"/>
        <v>0</v>
      </c>
      <c r="B482" s="11"/>
      <c r="C482" s="11"/>
      <c r="D482" s="317"/>
      <c r="E482" s="305">
        <f t="shared" si="15"/>
        <v>0</v>
      </c>
      <c r="H482" s="11"/>
    </row>
    <row r="483" spans="1:8" ht="14.25">
      <c r="A483" s="1">
        <f t="shared" ca="1" si="14"/>
        <v>0</v>
      </c>
      <c r="B483" s="11"/>
      <c r="C483" s="11"/>
      <c r="D483" s="317"/>
      <c r="E483" s="305">
        <f t="shared" si="15"/>
        <v>0</v>
      </c>
      <c r="H483" s="11"/>
    </row>
    <row r="484" spans="1:8" ht="14.25">
      <c r="A484" s="1">
        <f t="shared" ca="1" si="14"/>
        <v>0</v>
      </c>
      <c r="B484" s="11"/>
      <c r="C484" s="11"/>
      <c r="D484" s="317"/>
      <c r="E484" s="305">
        <f t="shared" si="15"/>
        <v>0</v>
      </c>
      <c r="H484" s="11"/>
    </row>
    <row r="485" spans="1:8" ht="14.25">
      <c r="A485" s="1" t="str">
        <f t="shared" ca="1" si="14"/>
        <v>м³/ч</v>
      </c>
      <c r="B485" s="11" t="s">
        <v>24</v>
      </c>
      <c r="C485" s="11" t="s">
        <v>24</v>
      </c>
      <c r="D485" s="317" t="s">
        <v>1219</v>
      </c>
      <c r="E485" s="305" t="str">
        <f t="shared" si="15"/>
        <v>м³/ч</v>
      </c>
      <c r="H485" s="11"/>
    </row>
    <row r="486" spans="1:8" ht="14.25">
      <c r="A486" s="1" t="str">
        <f t="shared" ca="1" si="14"/>
        <v>aft³/h</v>
      </c>
      <c r="B486" s="11" t="s">
        <v>1102</v>
      </c>
      <c r="C486" s="11" t="s">
        <v>1102</v>
      </c>
      <c r="D486" s="317" t="s">
        <v>1102</v>
      </c>
      <c r="E486" s="305" t="str">
        <f t="shared" si="15"/>
        <v>aft³/h</v>
      </c>
      <c r="H486" s="11"/>
    </row>
    <row r="487" spans="1:8" ht="14.25">
      <c r="A487" s="1" t="str">
        <f t="shared" ca="1" si="14"/>
        <v>ft³/h</v>
      </c>
      <c r="B487" s="11" t="s">
        <v>1068</v>
      </c>
      <c r="C487" s="11" t="s">
        <v>1068</v>
      </c>
      <c r="D487" s="317" t="s">
        <v>1068</v>
      </c>
      <c r="E487" s="305" t="str">
        <f t="shared" si="15"/>
        <v>ft³/h</v>
      </c>
      <c r="H487" s="11"/>
    </row>
    <row r="488" spans="1:8" ht="14.25">
      <c r="A488" s="1">
        <f t="shared" ca="1" si="14"/>
        <v>0</v>
      </c>
      <c r="B488" s="11"/>
      <c r="C488" s="11"/>
      <c r="D488" s="317"/>
      <c r="E488" s="305">
        <f t="shared" si="15"/>
        <v>0</v>
      </c>
      <c r="H488" s="11"/>
    </row>
    <row r="489" spans="1:8" ht="14.25">
      <c r="A489" s="1" t="str">
        <f t="shared" ca="1" si="14"/>
        <v>Нм³/ч</v>
      </c>
      <c r="B489" s="11" t="s">
        <v>40</v>
      </c>
      <c r="C489" s="11" t="s">
        <v>40</v>
      </c>
      <c r="D489" s="317" t="s">
        <v>1220</v>
      </c>
      <c r="E489" s="305" t="str">
        <f t="shared" si="15"/>
        <v>Нм³/ч</v>
      </c>
      <c r="H489" s="11"/>
    </row>
    <row r="490" spans="1:8" ht="14.25">
      <c r="A490" s="1" t="str">
        <f t="shared" ca="1" si="14"/>
        <v>sft³/h</v>
      </c>
      <c r="B490" s="11" t="s">
        <v>1101</v>
      </c>
      <c r="C490" s="11" t="s">
        <v>1101</v>
      </c>
      <c r="D490" s="11" t="s">
        <v>1101</v>
      </c>
      <c r="E490" s="305" t="str">
        <f t="shared" si="15"/>
        <v>sft³/h</v>
      </c>
      <c r="H490" s="11"/>
    </row>
    <row r="491" spans="1:8" ht="14.25">
      <c r="A491" s="1">
        <f t="shared" ca="1" si="14"/>
        <v>0</v>
      </c>
      <c r="B491" s="11"/>
      <c r="C491" s="11"/>
      <c r="D491" s="317"/>
      <c r="E491" s="305">
        <f t="shared" si="15"/>
        <v>0</v>
      </c>
      <c r="H491" s="11"/>
    </row>
    <row r="492" spans="1:8" ht="14.25">
      <c r="A492" s="1" t="str">
        <f t="shared" ca="1" si="14"/>
        <v>м/с</v>
      </c>
      <c r="B492" s="11" t="s">
        <v>28</v>
      </c>
      <c r="C492" s="11" t="s">
        <v>28</v>
      </c>
      <c r="D492" s="317" t="s">
        <v>517</v>
      </c>
      <c r="E492" s="305" t="str">
        <f t="shared" si="15"/>
        <v>м/с</v>
      </c>
      <c r="H492" s="11"/>
    </row>
    <row r="493" spans="1:8" ht="14.25">
      <c r="A493" s="1" t="str">
        <f t="shared" ca="1" si="14"/>
        <v>ft/s</v>
      </c>
      <c r="B493" s="11" t="s">
        <v>887</v>
      </c>
      <c r="C493" s="11" t="s">
        <v>887</v>
      </c>
      <c r="D493" s="317" t="s">
        <v>887</v>
      </c>
      <c r="E493" s="305" t="str">
        <f t="shared" si="15"/>
        <v>ft/s</v>
      </c>
      <c r="H493" s="11"/>
    </row>
    <row r="494" spans="1:8" ht="14.25">
      <c r="A494" s="1">
        <f t="shared" ca="1" si="14"/>
        <v>0</v>
      </c>
      <c r="B494" s="11"/>
      <c r="C494" s="11"/>
      <c r="D494" s="317"/>
      <c r="E494" s="305">
        <f t="shared" si="15"/>
        <v>0</v>
      </c>
      <c r="H494" s="11"/>
    </row>
    <row r="495" spans="1:8" ht="14.25">
      <c r="A495" s="1" t="str">
        <f t="shared" ca="1" si="14"/>
        <v>°C</v>
      </c>
      <c r="B495" s="11" t="s">
        <v>20</v>
      </c>
      <c r="C495" s="11" t="s">
        <v>20</v>
      </c>
      <c r="D495" s="317" t="s">
        <v>20</v>
      </c>
      <c r="E495" s="305" t="str">
        <f t="shared" si="15"/>
        <v>°C</v>
      </c>
      <c r="H495" s="11"/>
    </row>
    <row r="496" spans="1:8" ht="14.25">
      <c r="A496" s="1" t="str">
        <f t="shared" ca="1" si="14"/>
        <v>°F</v>
      </c>
      <c r="B496" s="11" t="s">
        <v>283</v>
      </c>
      <c r="C496" s="11" t="s">
        <v>283</v>
      </c>
      <c r="D496" s="317" t="s">
        <v>283</v>
      </c>
      <c r="E496" s="305" t="str">
        <f t="shared" si="15"/>
        <v>°F</v>
      </c>
      <c r="H496" s="11"/>
    </row>
    <row r="497" spans="1:8" ht="14.25">
      <c r="A497" s="1">
        <f t="shared" ca="1" si="14"/>
        <v>0</v>
      </c>
      <c r="B497" s="11"/>
      <c r="C497" s="11"/>
      <c r="D497" s="317"/>
      <c r="E497" s="305">
        <f t="shared" si="15"/>
        <v>0</v>
      </c>
      <c r="H497" s="11"/>
    </row>
    <row r="498" spans="1:8" ht="14.25">
      <c r="A498" s="1">
        <f t="shared" ca="1" si="14"/>
        <v>0</v>
      </c>
      <c r="B498" s="11"/>
      <c r="C498" s="11"/>
      <c r="D498" s="319"/>
      <c r="E498" s="305">
        <f t="shared" si="15"/>
        <v>0</v>
      </c>
      <c r="H498" s="11"/>
    </row>
    <row r="499" spans="1:8" ht="14.25">
      <c r="A499" s="1" t="str">
        <f t="shared" ca="1" si="14"/>
        <v>бар(и)</v>
      </c>
      <c r="B499" s="230" t="s">
        <v>30</v>
      </c>
      <c r="C499" s="230" t="s">
        <v>30</v>
      </c>
      <c r="D499" s="318" t="s">
        <v>1217</v>
      </c>
      <c r="E499" s="305" t="str">
        <f t="shared" si="15"/>
        <v>бар(и)</v>
      </c>
      <c r="H499" s="230"/>
    </row>
    <row r="500" spans="1:8" ht="14.25">
      <c r="A500" s="1" t="str">
        <f t="shared" ca="1" si="14"/>
        <v>psi(и)</v>
      </c>
      <c r="B500" s="230" t="s">
        <v>346</v>
      </c>
      <c r="C500" s="230" t="s">
        <v>346</v>
      </c>
      <c r="D500" s="318" t="s">
        <v>1218</v>
      </c>
      <c r="E500" s="305" t="str">
        <f t="shared" si="15"/>
        <v>psi(и)</v>
      </c>
      <c r="H500" s="230"/>
    </row>
    <row r="501" spans="1:8" ht="14.25">
      <c r="A501" s="1">
        <f t="shared" ca="1" si="14"/>
        <v>0</v>
      </c>
      <c r="B501" s="230"/>
      <c r="C501" s="230"/>
      <c r="D501" s="319"/>
      <c r="E501" s="305">
        <f t="shared" si="15"/>
        <v>0</v>
      </c>
      <c r="H501" s="230"/>
    </row>
    <row r="502" spans="1:8" ht="14.25">
      <c r="A502" s="1" t="str">
        <f t="shared" ca="1" si="14"/>
        <v>кг/ч</v>
      </c>
      <c r="B502" s="11" t="s">
        <v>26</v>
      </c>
      <c r="C502" s="11" t="s">
        <v>26</v>
      </c>
      <c r="D502" s="317" t="s">
        <v>518</v>
      </c>
      <c r="E502" s="305" t="str">
        <f t="shared" si="15"/>
        <v>кг/ч</v>
      </c>
      <c r="H502" s="230"/>
    </row>
    <row r="503" spans="1:8" ht="14.25">
      <c r="A503" s="1" t="str">
        <f t="shared" ca="1" si="14"/>
        <v>lbs/h</v>
      </c>
      <c r="B503" s="11" t="s">
        <v>1040</v>
      </c>
      <c r="C503" s="11" t="s">
        <v>1040</v>
      </c>
      <c r="D503" s="317" t="s">
        <v>1040</v>
      </c>
      <c r="E503" s="305" t="str">
        <f t="shared" si="15"/>
        <v>lbs/h</v>
      </c>
      <c r="H503" s="230"/>
    </row>
    <row r="504" spans="1:8" ht="14.25">
      <c r="A504" s="1">
        <f t="shared" ca="1" si="14"/>
        <v>0</v>
      </c>
      <c r="B504" s="11"/>
      <c r="C504" s="11"/>
      <c r="D504" s="317"/>
      <c r="E504" s="305">
        <f t="shared" si="15"/>
        <v>0</v>
      </c>
      <c r="H504" s="230"/>
    </row>
    <row r="505" spans="1:8" ht="14.25">
      <c r="A505" s="1">
        <f t="shared" ca="1" si="14"/>
        <v>0</v>
      </c>
      <c r="B505" s="11"/>
      <c r="C505" s="230"/>
      <c r="D505" s="319"/>
      <c r="E505" s="305">
        <f t="shared" si="15"/>
        <v>0</v>
      </c>
      <c r="H505" s="230"/>
    </row>
    <row r="506" spans="1:8" ht="14.25">
      <c r="A506" s="1">
        <f t="shared" ca="1" si="14"/>
        <v>0</v>
      </c>
      <c r="B506" s="11"/>
      <c r="C506" s="230"/>
      <c r="D506" s="319"/>
      <c r="E506" s="305">
        <f t="shared" si="15"/>
        <v>0</v>
      </c>
      <c r="H506" s="230"/>
    </row>
    <row r="507" spans="1:8" ht="14.25">
      <c r="A507" s="1" t="str">
        <f t="shared" ca="1" si="14"/>
        <v>г/моль</v>
      </c>
      <c r="B507" s="11" t="s">
        <v>33</v>
      </c>
      <c r="C507" s="11" t="s">
        <v>33</v>
      </c>
      <c r="D507" s="317" t="s">
        <v>520</v>
      </c>
      <c r="E507" s="305" t="str">
        <f t="shared" si="15"/>
        <v>г/моль</v>
      </c>
      <c r="H507" s="230"/>
    </row>
    <row r="508" spans="1:8" ht="14.25">
      <c r="A508" s="1" t="str">
        <f t="shared" ca="1" si="14"/>
        <v>мин.</v>
      </c>
      <c r="B508" s="11" t="s">
        <v>147</v>
      </c>
      <c r="C508" s="11" t="s">
        <v>147</v>
      </c>
      <c r="D508" s="317" t="s">
        <v>631</v>
      </c>
      <c r="E508" s="305" t="str">
        <f t="shared" si="15"/>
        <v>мин.</v>
      </c>
      <c r="H508" s="230"/>
    </row>
    <row r="509" spans="1:8" ht="14.25">
      <c r="A509" s="1">
        <f t="shared" ca="1" si="14"/>
        <v>0</v>
      </c>
      <c r="B509" s="230"/>
      <c r="C509" s="230"/>
      <c r="D509" s="319"/>
      <c r="E509" s="305">
        <f t="shared" si="15"/>
        <v>0</v>
      </c>
      <c r="H509" s="230"/>
    </row>
    <row r="510" spans="1:8" ht="14.25">
      <c r="A510" s="1">
        <f t="shared" ca="1" si="14"/>
        <v>0</v>
      </c>
      <c r="B510" s="230"/>
      <c r="C510" s="230"/>
      <c r="D510" s="319"/>
      <c r="E510" s="305">
        <f t="shared" si="15"/>
        <v>0</v>
      </c>
      <c r="H510" s="230"/>
    </row>
    <row r="511" spans="1:8" ht="14.25">
      <c r="A511" s="1">
        <f t="shared" ca="1" si="14"/>
        <v>0</v>
      </c>
      <c r="B511" s="230"/>
      <c r="C511" s="230"/>
      <c r="D511" s="319"/>
      <c r="E511" s="305">
        <f t="shared" si="15"/>
        <v>0</v>
      </c>
      <c r="H511" s="230"/>
    </row>
    <row r="512" spans="1:8" ht="14.25">
      <c r="A512" s="1">
        <f t="shared" ca="1" si="14"/>
        <v>0</v>
      </c>
      <c r="B512" s="230"/>
      <c r="C512" s="230"/>
      <c r="D512" s="319"/>
      <c r="E512" s="305">
        <f t="shared" si="15"/>
        <v>0</v>
      </c>
      <c r="H512" s="230"/>
    </row>
    <row r="513" spans="1:8" ht="14.25">
      <c r="A513" s="1" t="str">
        <f t="shared" ca="1" si="14"/>
        <v>D</v>
      </c>
      <c r="B513" s="230" t="s">
        <v>6</v>
      </c>
      <c r="C513" s="231" t="s">
        <v>6</v>
      </c>
      <c r="D513" s="319" t="s">
        <v>6</v>
      </c>
      <c r="E513" s="305" t="str">
        <f t="shared" si="15"/>
        <v>D</v>
      </c>
      <c r="H513" s="230"/>
    </row>
    <row r="514" spans="1:8" ht="14.25">
      <c r="A514" s="1" t="str">
        <f t="shared" ref="A514:A529" ca="1" si="16">HLOOKUP(langchoose,LangMatrix,ROW(),0)</f>
        <v>м</v>
      </c>
      <c r="B514" s="11" t="s">
        <v>379</v>
      </c>
      <c r="C514" s="237" t="s">
        <v>379</v>
      </c>
      <c r="D514" s="320" t="s">
        <v>524</v>
      </c>
      <c r="E514" s="305" t="str">
        <f t="shared" si="15"/>
        <v>м</v>
      </c>
      <c r="H514" s="230"/>
    </row>
    <row r="515" spans="1:8" ht="14.25">
      <c r="A515" s="1" t="str">
        <f t="shared" ca="1" si="16"/>
        <v>ft</v>
      </c>
      <c r="B515" s="16" t="s">
        <v>380</v>
      </c>
      <c r="C515" s="16" t="s">
        <v>380</v>
      </c>
      <c r="D515" s="320" t="s">
        <v>380</v>
      </c>
      <c r="E515" s="305" t="str">
        <f t="shared" ref="E515:E529" si="17">D515</f>
        <v>ft</v>
      </c>
      <c r="H515" s="230"/>
    </row>
    <row r="516" spans="1:8" ht="14.25">
      <c r="A516" s="1" t="str">
        <f t="shared" ca="1" si="16"/>
        <v>мм</v>
      </c>
      <c r="B516" s="237" t="s">
        <v>153</v>
      </c>
      <c r="C516" s="237" t="s">
        <v>153</v>
      </c>
      <c r="D516" s="321" t="s">
        <v>523</v>
      </c>
      <c r="E516" s="305" t="str">
        <f t="shared" si="17"/>
        <v>мм</v>
      </c>
      <c r="H516" s="231"/>
    </row>
    <row r="517" spans="1:8" ht="14.25">
      <c r="A517" s="1" t="str">
        <f t="shared" ca="1" si="16"/>
        <v>Дюйм</v>
      </c>
      <c r="B517" s="237" t="s">
        <v>393</v>
      </c>
      <c r="C517" s="237" t="s">
        <v>393</v>
      </c>
      <c r="D517" s="322" t="s">
        <v>1158</v>
      </c>
      <c r="E517" s="305" t="str">
        <f t="shared" si="17"/>
        <v>Дюйм</v>
      </c>
      <c r="H517" s="231"/>
    </row>
    <row r="518" spans="1:8">
      <c r="A518" s="1">
        <f t="shared" ca="1" si="16"/>
        <v>0</v>
      </c>
      <c r="D518" s="296"/>
      <c r="E518" s="305">
        <f t="shared" si="17"/>
        <v>0</v>
      </c>
      <c r="H518" s="75"/>
    </row>
    <row r="519" spans="1:8">
      <c r="A519" s="1">
        <f t="shared" ca="1" si="16"/>
        <v>0</v>
      </c>
      <c r="D519" s="296"/>
      <c r="E519" s="305">
        <f t="shared" si="17"/>
        <v>0</v>
      </c>
      <c r="H519" s="75"/>
    </row>
    <row r="520" spans="1:8">
      <c r="A520" s="1" t="str">
        <f t="shared" ca="1" si="16"/>
        <v>Количество</v>
      </c>
      <c r="B520" s="66" t="s">
        <v>1086</v>
      </c>
      <c r="C520" s="66" t="s">
        <v>1086</v>
      </c>
      <c r="D520" s="308" t="s">
        <v>1159</v>
      </c>
      <c r="E520" s="305" t="str">
        <f t="shared" si="17"/>
        <v>Количество</v>
      </c>
    </row>
    <row r="521" spans="1:8">
      <c r="A521" s="1" t="str">
        <f t="shared" ca="1" si="16"/>
        <v>Примечание</v>
      </c>
      <c r="B521" s="66" t="s">
        <v>1085</v>
      </c>
      <c r="C521" s="66" t="s">
        <v>1085</v>
      </c>
      <c r="D521" s="308" t="s">
        <v>1233</v>
      </c>
      <c r="E521" s="305" t="str">
        <f t="shared" si="17"/>
        <v>Примечание</v>
      </c>
    </row>
    <row r="522" spans="1:8">
      <c r="A522" s="1">
        <f t="shared" ca="1" si="16"/>
        <v>0</v>
      </c>
      <c r="D522" s="296"/>
      <c r="E522" s="305">
        <f t="shared" si="17"/>
        <v>0</v>
      </c>
    </row>
    <row r="523" spans="1:8">
      <c r="A523" s="1">
        <f t="shared" ca="1" si="16"/>
        <v>0</v>
      </c>
      <c r="D523" s="296"/>
      <c r="E523" s="305">
        <f t="shared" si="17"/>
        <v>0</v>
      </c>
    </row>
    <row r="524" spans="1:8">
      <c r="A524" s="1" t="str">
        <f t="shared" ca="1" si="16"/>
        <v>Примечание: Ограниченные рабочие условия. Пожалуйста, свяжитесь с Вашим локальным представителем ООО "КТМ-Сервис".</v>
      </c>
      <c r="B524" s="66" t="s">
        <v>1087</v>
      </c>
      <c r="C524" s="66" t="s">
        <v>1087</v>
      </c>
      <c r="D524" s="308" t="s">
        <v>1282</v>
      </c>
      <c r="E524" s="305" t="str">
        <f t="shared" si="17"/>
        <v>Примечание: Ограниченные рабочие условия. Пожалуйста, свяжитесь с Вашим локальным представителем ООО "КТМ-Сервис".</v>
      </c>
    </row>
    <row r="525" spans="1:8" ht="12.75" customHeight="1">
      <c r="A525" s="1" t="str">
        <f t="shared" ca="1" si="16"/>
        <v>Примечание: Ограниченные рабочие условия. Пожалуйста, свяжитесь с Вашим локальным представителем ООО "КТМ-Сервис".</v>
      </c>
      <c r="B525" s="66" t="s">
        <v>1088</v>
      </c>
      <c r="C525" s="66" t="s">
        <v>1088</v>
      </c>
      <c r="D525" s="308" t="s">
        <v>1282</v>
      </c>
      <c r="E525" s="305" t="str">
        <f t="shared" si="17"/>
        <v>Примечание: Ограниченные рабочие условия. Пожалуйста, свяжитесь с Вашим локальным представителем ООО "КТМ-Сервис".</v>
      </c>
    </row>
    <row r="526" spans="1:8">
      <c r="A526" s="1" t="str">
        <f t="shared" ca="1" si="16"/>
        <v>EVC - Встроенный вычислитель расхода</v>
      </c>
      <c r="B526" s="66" t="s">
        <v>1097</v>
      </c>
      <c r="C526" s="66" t="s">
        <v>1097</v>
      </c>
      <c r="D526" s="308" t="s">
        <v>1216</v>
      </c>
      <c r="E526" s="305" t="str">
        <f t="shared" si="17"/>
        <v>EVC - Встроенный вычислитель расхода</v>
      </c>
    </row>
    <row r="527" spans="1:8">
      <c r="A527" s="1" t="str">
        <f t="shared" ca="1" si="16"/>
        <v>Примечание: Диапазон окружающей температуры SPU ограничен сертификатом взрывозащиты ATEX до - 40С. При более низкой температуре необходимо обеспечить термоизоляцию/ обогрев.</v>
      </c>
      <c r="B527" s="66" t="s">
        <v>1098</v>
      </c>
      <c r="C527" s="66" t="s">
        <v>1098</v>
      </c>
      <c r="D527" s="296" t="s">
        <v>1228</v>
      </c>
      <c r="E527" s="305" t="str">
        <f t="shared" si="17"/>
        <v>Примечание: Диапазон окружающей температуры SPU ограничен сертификатом взрывозащиты ATEX до - 40С. При более низкой температуре необходимо обеспечить термоизоляцию/ обогрев.</v>
      </c>
    </row>
    <row r="528" spans="1:8">
      <c r="A528" s="1" t="str">
        <f t="shared" ca="1" si="16"/>
        <v xml:space="preserve">  </v>
      </c>
      <c r="B528" s="75" t="s">
        <v>1108</v>
      </c>
      <c r="C528" s="75" t="s">
        <v>1108</v>
      </c>
      <c r="D528" s="308" t="s">
        <v>1227</v>
      </c>
      <c r="E528" s="305" t="str">
        <f t="shared" si="17"/>
        <v xml:space="preserve">  </v>
      </c>
    </row>
    <row r="529" spans="1:5">
      <c r="A529" s="1" t="str">
        <f t="shared" ca="1" si="16"/>
        <v>Язык</v>
      </c>
      <c r="B529" s="66" t="s">
        <v>1273</v>
      </c>
      <c r="C529" s="66" t="s">
        <v>1273</v>
      </c>
      <c r="D529" s="76" t="s">
        <v>1240</v>
      </c>
      <c r="E529" s="66" t="str">
        <f t="shared" si="17"/>
        <v>Язык</v>
      </c>
    </row>
  </sheetData>
  <phoneticPr fontId="23" type="noConversion"/>
  <conditionalFormatting sqref="E529:E542">
    <cfRule type="cellIs" dxfId="14" priority="2" stopIfTrue="1" operator="equal">
      <formula>1</formula>
    </cfRule>
  </conditionalFormatting>
  <pageMargins left="0.78740157499999996" right="0.78740157499999996" top="0.984251969" bottom="0.984251969" header="0.4921259845" footer="0.4921259845"/>
  <pageSetup paperSize="9" orientation="portrait" horizontalDpi="1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1"/>
  <sheetViews>
    <sheetView workbookViewId="0">
      <selection activeCell="AO28" sqref="AO28"/>
    </sheetView>
  </sheetViews>
  <sheetFormatPr defaultColWidth="11.42578125" defaultRowHeight="14.25"/>
  <cols>
    <col min="1" max="1" width="17.85546875" style="11" customWidth="1"/>
    <col min="2" max="2" width="13.28515625" style="11" customWidth="1"/>
    <col min="3" max="3" width="14.28515625" style="11" customWidth="1"/>
    <col min="4" max="4" width="12.140625" style="11" customWidth="1"/>
    <col min="5" max="5" width="16.42578125" style="11" customWidth="1"/>
    <col min="6" max="6" width="8.5703125" style="11" customWidth="1"/>
    <col min="7" max="7" width="14.28515625" style="11" customWidth="1"/>
    <col min="8" max="8" width="11.42578125" style="11" bestFit="1"/>
    <col min="9" max="9" width="14.28515625" style="11" customWidth="1"/>
    <col min="10" max="16384" width="11.42578125" style="11"/>
  </cols>
  <sheetData>
    <row r="1" spans="1:9">
      <c r="A1" s="11" t="s">
        <v>112</v>
      </c>
      <c r="B1" s="822" t="str">
        <f>language!B1</f>
        <v>English (Metrical)</v>
      </c>
      <c r="C1" s="822"/>
      <c r="D1" s="822" t="str">
        <f>language!C1</f>
        <v>English (Imperial)</v>
      </c>
      <c r="E1" s="822"/>
      <c r="F1" s="822" t="e">
        <f>language!#REF!</f>
        <v>#REF!</v>
      </c>
      <c r="G1" s="822"/>
      <c r="H1" s="822" t="str">
        <f>language!D1</f>
        <v>Русский</v>
      </c>
      <c r="I1" s="822"/>
    </row>
    <row r="2" spans="1:9">
      <c r="A2" s="11" t="s">
        <v>118</v>
      </c>
      <c r="B2" s="11" t="s">
        <v>279</v>
      </c>
      <c r="C2" s="11" t="s">
        <v>280</v>
      </c>
      <c r="D2" s="11" t="s">
        <v>279</v>
      </c>
      <c r="E2" s="11" t="s">
        <v>280</v>
      </c>
      <c r="F2" s="11" t="s">
        <v>279</v>
      </c>
      <c r="G2" s="11" t="s">
        <v>280</v>
      </c>
      <c r="H2" s="11" t="s">
        <v>279</v>
      </c>
      <c r="I2" s="11" t="s">
        <v>280</v>
      </c>
    </row>
    <row r="3" spans="1:9">
      <c r="A3" s="11" t="s">
        <v>662</v>
      </c>
      <c r="B3" s="11" t="s">
        <v>663</v>
      </c>
      <c r="C3" s="11">
        <v>1</v>
      </c>
      <c r="D3" s="11" t="s">
        <v>664</v>
      </c>
      <c r="E3" s="11">
        <v>1</v>
      </c>
      <c r="F3" s="11" t="s">
        <v>662</v>
      </c>
      <c r="G3" s="11">
        <v>1</v>
      </c>
      <c r="H3" s="11" t="s">
        <v>831</v>
      </c>
      <c r="I3" s="11">
        <v>1</v>
      </c>
    </row>
    <row r="4" spans="1:9">
      <c r="A4" s="11" t="s">
        <v>281</v>
      </c>
      <c r="B4" s="11" t="s">
        <v>281</v>
      </c>
      <c r="C4" s="11">
        <v>1</v>
      </c>
      <c r="D4" s="11" t="s">
        <v>281</v>
      </c>
      <c r="E4" s="11">
        <v>1</v>
      </c>
      <c r="F4" s="11" t="s">
        <v>281</v>
      </c>
      <c r="G4" s="11">
        <v>1</v>
      </c>
      <c r="H4" s="11" t="s">
        <v>628</v>
      </c>
      <c r="I4" s="11">
        <v>1</v>
      </c>
    </row>
    <row r="5" spans="1:9">
      <c r="A5" s="11" t="s">
        <v>24</v>
      </c>
      <c r="B5" s="11" t="s">
        <v>24</v>
      </c>
      <c r="C5" s="11">
        <v>1</v>
      </c>
      <c r="D5" s="11" t="s">
        <v>368</v>
      </c>
      <c r="E5" s="11">
        <v>1</v>
      </c>
      <c r="F5" s="11" t="s">
        <v>24</v>
      </c>
      <c r="G5" s="11">
        <v>1</v>
      </c>
      <c r="H5" s="11" t="s">
        <v>832</v>
      </c>
      <c r="I5" s="11">
        <v>1</v>
      </c>
    </row>
    <row r="6" spans="1:9">
      <c r="A6" s="11" t="s">
        <v>40</v>
      </c>
      <c r="B6" s="11" t="s">
        <v>40</v>
      </c>
      <c r="C6" s="11">
        <v>1</v>
      </c>
      <c r="D6" s="11" t="s">
        <v>369</v>
      </c>
      <c r="E6" s="11">
        <v>1</v>
      </c>
      <c r="F6" s="11" t="s">
        <v>40</v>
      </c>
      <c r="G6" s="11">
        <v>1</v>
      </c>
      <c r="H6" s="11" t="s">
        <v>954</v>
      </c>
      <c r="I6" s="11">
        <v>1</v>
      </c>
    </row>
    <row r="7" spans="1:9">
      <c r="A7" s="11" t="s">
        <v>28</v>
      </c>
      <c r="B7" s="11" t="s">
        <v>28</v>
      </c>
      <c r="C7" s="11">
        <v>1</v>
      </c>
      <c r="D7" s="11" t="s">
        <v>887</v>
      </c>
      <c r="E7" s="11">
        <v>1</v>
      </c>
      <c r="F7" s="11" t="s">
        <v>28</v>
      </c>
      <c r="G7" s="11">
        <v>1</v>
      </c>
      <c r="H7" s="11" t="s">
        <v>517</v>
      </c>
      <c r="I7" s="11">
        <v>1</v>
      </c>
    </row>
    <row r="8" spans="1:9">
      <c r="A8" s="11" t="s">
        <v>20</v>
      </c>
      <c r="B8" s="11" t="s">
        <v>20</v>
      </c>
      <c r="C8" s="11">
        <v>1</v>
      </c>
      <c r="D8" s="11" t="s">
        <v>283</v>
      </c>
      <c r="E8" s="11" t="s">
        <v>284</v>
      </c>
      <c r="F8" s="11" t="s">
        <v>20</v>
      </c>
      <c r="G8" s="11">
        <v>1</v>
      </c>
      <c r="H8" s="11" t="s">
        <v>20</v>
      </c>
      <c r="I8" s="11">
        <v>1</v>
      </c>
    </row>
    <row r="9" spans="1:9">
      <c r="A9" s="178" t="s">
        <v>30</v>
      </c>
      <c r="B9" s="178" t="s">
        <v>30</v>
      </c>
      <c r="C9" s="178">
        <v>1</v>
      </c>
      <c r="D9" s="178" t="s">
        <v>346</v>
      </c>
      <c r="E9" s="178">
        <v>1</v>
      </c>
      <c r="F9" s="178" t="s">
        <v>30</v>
      </c>
      <c r="G9" s="178">
        <v>1</v>
      </c>
      <c r="H9" s="178" t="s">
        <v>955</v>
      </c>
      <c r="I9" s="178">
        <v>1</v>
      </c>
    </row>
    <row r="10" spans="1:9">
      <c r="A10" s="11" t="s">
        <v>26</v>
      </c>
      <c r="B10" s="11" t="s">
        <v>26</v>
      </c>
      <c r="C10" s="11">
        <v>1</v>
      </c>
      <c r="D10" s="11" t="s">
        <v>370</v>
      </c>
      <c r="E10" s="11">
        <v>1</v>
      </c>
      <c r="F10" s="11" t="s">
        <v>26</v>
      </c>
      <c r="G10" s="11">
        <v>1</v>
      </c>
      <c r="H10" s="11" t="s">
        <v>518</v>
      </c>
      <c r="I10" s="11">
        <v>1</v>
      </c>
    </row>
    <row r="11" spans="1:9">
      <c r="A11" s="11" t="s">
        <v>286</v>
      </c>
      <c r="C11" s="11">
        <v>1</v>
      </c>
      <c r="E11" s="11">
        <v>1</v>
      </c>
      <c r="G11" s="11">
        <v>1</v>
      </c>
      <c r="I11" s="11">
        <v>1</v>
      </c>
    </row>
    <row r="12" spans="1:9">
      <c r="A12" s="229" t="s">
        <v>32</v>
      </c>
      <c r="B12" s="229" t="s">
        <v>32</v>
      </c>
      <c r="C12" s="229">
        <v>1</v>
      </c>
      <c r="D12" s="229" t="s">
        <v>371</v>
      </c>
      <c r="E12" s="229">
        <v>1</v>
      </c>
      <c r="F12" s="229" t="s">
        <v>32</v>
      </c>
      <c r="G12" s="229">
        <v>1</v>
      </c>
      <c r="H12" s="229" t="s">
        <v>519</v>
      </c>
      <c r="I12" s="229">
        <v>1</v>
      </c>
    </row>
    <row r="13" spans="1:9">
      <c r="A13" s="11" t="s">
        <v>33</v>
      </c>
      <c r="B13" s="11" t="s">
        <v>33</v>
      </c>
      <c r="C13" s="11">
        <v>1</v>
      </c>
      <c r="D13" s="11" t="s">
        <v>33</v>
      </c>
      <c r="E13" s="11">
        <v>1</v>
      </c>
      <c r="F13" s="11" t="s">
        <v>33</v>
      </c>
      <c r="G13" s="11">
        <v>1</v>
      </c>
      <c r="H13" s="11" t="s">
        <v>520</v>
      </c>
      <c r="I13" s="11">
        <v>1</v>
      </c>
    </row>
    <row r="14" spans="1:9">
      <c r="A14" s="11" t="s">
        <v>147</v>
      </c>
      <c r="B14" s="11" t="s">
        <v>147</v>
      </c>
      <c r="C14" s="11">
        <v>1</v>
      </c>
      <c r="D14" s="11" t="s">
        <v>147</v>
      </c>
      <c r="E14" s="11">
        <v>1</v>
      </c>
      <c r="F14" s="11" t="s">
        <v>147</v>
      </c>
      <c r="G14" s="11">
        <v>1</v>
      </c>
      <c r="H14" s="11" t="s">
        <v>631</v>
      </c>
      <c r="I14" s="11">
        <v>1</v>
      </c>
    </row>
    <row r="15" spans="1:9">
      <c r="A15" s="11" t="s">
        <v>226</v>
      </c>
      <c r="B15" s="11" t="s">
        <v>226</v>
      </c>
      <c r="C15" s="11">
        <v>1</v>
      </c>
      <c r="D15" s="11" t="s">
        <v>372</v>
      </c>
      <c r="E15" s="11">
        <v>1</v>
      </c>
      <c r="F15" s="11" t="s">
        <v>226</v>
      </c>
      <c r="G15" s="11">
        <v>1</v>
      </c>
      <c r="H15" s="11" t="s">
        <v>521</v>
      </c>
      <c r="I15" s="11">
        <v>1</v>
      </c>
    </row>
    <row r="16" spans="1:9">
      <c r="A16" s="11" t="s">
        <v>177</v>
      </c>
      <c r="B16" s="11" t="s">
        <v>177</v>
      </c>
      <c r="C16" s="11">
        <v>1</v>
      </c>
      <c r="D16" s="11" t="s">
        <v>177</v>
      </c>
      <c r="E16" s="11">
        <v>1</v>
      </c>
      <c r="F16" s="11" t="s">
        <v>177</v>
      </c>
      <c r="G16" s="11">
        <v>1</v>
      </c>
      <c r="H16" s="11" t="s">
        <v>522</v>
      </c>
      <c r="I16" s="11">
        <v>1</v>
      </c>
    </row>
    <row r="17" spans="1:9">
      <c r="A17" s="11" t="s">
        <v>281</v>
      </c>
      <c r="B17" s="11" t="s">
        <v>281</v>
      </c>
      <c r="C17" s="11">
        <v>1</v>
      </c>
      <c r="D17" s="11" t="s">
        <v>281</v>
      </c>
      <c r="E17" s="11">
        <v>1</v>
      </c>
      <c r="F17" s="11" t="s">
        <v>281</v>
      </c>
      <c r="G17" s="11">
        <v>1</v>
      </c>
      <c r="H17" s="11" t="s">
        <v>628</v>
      </c>
      <c r="I17" s="11">
        <v>1</v>
      </c>
    </row>
    <row r="18" spans="1:9">
      <c r="A18" s="11" t="s">
        <v>153</v>
      </c>
      <c r="B18" s="11" t="s">
        <v>153</v>
      </c>
      <c r="C18" s="11">
        <v>1</v>
      </c>
      <c r="D18" s="11" t="s">
        <v>393</v>
      </c>
      <c r="E18" s="11">
        <v>1</v>
      </c>
      <c r="F18" s="11" t="s">
        <v>153</v>
      </c>
      <c r="G18" s="11">
        <v>1</v>
      </c>
      <c r="H18" s="11" t="s">
        <v>523</v>
      </c>
      <c r="I18" s="11">
        <v>1</v>
      </c>
    </row>
    <row r="19" spans="1:9" s="16" customFormat="1">
      <c r="A19" s="178" t="s">
        <v>30</v>
      </c>
      <c r="B19" s="178" t="s">
        <v>30</v>
      </c>
      <c r="C19" s="179" t="s">
        <v>303</v>
      </c>
      <c r="D19" s="179" t="s">
        <v>302</v>
      </c>
      <c r="E19" s="179" t="s">
        <v>303</v>
      </c>
      <c r="F19" s="179" t="s">
        <v>30</v>
      </c>
      <c r="G19" s="179" t="s">
        <v>304</v>
      </c>
      <c r="H19" s="179" t="s">
        <v>629</v>
      </c>
      <c r="I19" s="179" t="s">
        <v>304</v>
      </c>
    </row>
    <row r="20" spans="1:9" s="16" customFormat="1">
      <c r="A20" s="11" t="s">
        <v>379</v>
      </c>
      <c r="B20" s="11" t="s">
        <v>379</v>
      </c>
      <c r="C20" s="16" t="s">
        <v>303</v>
      </c>
      <c r="D20" s="16" t="s">
        <v>380</v>
      </c>
      <c r="E20" s="16" t="s">
        <v>303</v>
      </c>
      <c r="F20" s="16" t="s">
        <v>379</v>
      </c>
      <c r="G20" s="16" t="s">
        <v>303</v>
      </c>
      <c r="H20" s="16" t="s">
        <v>524</v>
      </c>
      <c r="I20" s="16" t="s">
        <v>303</v>
      </c>
    </row>
    <row r="21" spans="1:9">
      <c r="A21" s="16" t="s">
        <v>299</v>
      </c>
      <c r="B21" s="16" t="s">
        <v>300</v>
      </c>
      <c r="C21" s="16"/>
      <c r="D21" s="16" t="s">
        <v>300</v>
      </c>
      <c r="E21" s="16"/>
      <c r="F21" s="16" t="s">
        <v>301</v>
      </c>
      <c r="G21" s="16"/>
      <c r="H21" s="16" t="s">
        <v>301</v>
      </c>
      <c r="I21" s="16"/>
    </row>
  </sheetData>
  <mergeCells count="4">
    <mergeCell ref="F1:G1"/>
    <mergeCell ref="H1:I1"/>
    <mergeCell ref="D1:E1"/>
    <mergeCell ref="B1:C1"/>
  </mergeCells>
  <phoneticPr fontId="23" type="noConversion"/>
  <pageMargins left="0.78740157499999996" right="0.78740157499999996" top="0.984251969" bottom="0.984251969" header="0.4921259845" footer="0.4921259845"/>
  <pageSetup paperSize="9"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2:AW316"/>
  <sheetViews>
    <sheetView topLeftCell="A20" workbookViewId="0">
      <selection activeCell="B194" sqref="B194"/>
    </sheetView>
  </sheetViews>
  <sheetFormatPr defaultColWidth="13.140625" defaultRowHeight="12.75"/>
  <cols>
    <col min="1" max="1" width="4.85546875" style="51" customWidth="1"/>
    <col min="2" max="2" width="39.42578125" style="53" bestFit="1" customWidth="1"/>
    <col min="3" max="3" width="27.5703125" style="52" customWidth="1"/>
    <col min="4" max="4" width="8.42578125" style="51" customWidth="1"/>
    <col min="5" max="16384" width="13.140625" style="53"/>
  </cols>
  <sheetData>
    <row r="2" spans="1:49">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spans="1:49">
      <c r="A3" s="51">
        <v>1</v>
      </c>
      <c r="B3" s="53" t="s">
        <v>347</v>
      </c>
      <c r="C3" s="52" t="str">
        <f>langchoose</f>
        <v>Выберите из списка</v>
      </c>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row>
    <row r="4" spans="1:49">
      <c r="A4" s="51">
        <v>2</v>
      </c>
      <c r="B4" s="53" t="s">
        <v>21</v>
      </c>
      <c r="C4" s="52">
        <f>'Page1|Страница 1'!K36</f>
        <v>0</v>
      </c>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row>
    <row r="5" spans="1:49">
      <c r="A5" s="51">
        <v>3</v>
      </c>
      <c r="B5" s="53" t="s">
        <v>308</v>
      </c>
      <c r="C5" s="52">
        <f>'Page1|Страница 1'!R40</f>
        <v>0</v>
      </c>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row>
    <row r="6" spans="1:49">
      <c r="A6" s="51">
        <v>4</v>
      </c>
      <c r="B6" s="53" t="s">
        <v>391</v>
      </c>
      <c r="C6" s="52">
        <f>'Page1|Страница 1'!AF40</f>
        <v>0</v>
      </c>
      <c r="H6" s="51"/>
      <c r="I6" s="51"/>
      <c r="J6" s="51"/>
      <c r="K6" s="51"/>
      <c r="L6" s="51"/>
      <c r="M6" s="51"/>
      <c r="N6" s="51"/>
      <c r="O6" s="51"/>
      <c r="P6" s="51"/>
      <c r="Q6" s="51"/>
      <c r="R6" s="51"/>
      <c r="S6" s="51"/>
      <c r="T6" s="51"/>
      <c r="U6" s="51"/>
      <c r="V6" s="51"/>
      <c r="W6" s="51"/>
      <c r="X6" s="51"/>
      <c r="Y6" s="51"/>
      <c r="Z6" s="51"/>
      <c r="AA6" s="51"/>
      <c r="AB6" s="51"/>
    </row>
    <row r="7" spans="1:49">
      <c r="A7" s="51">
        <v>5</v>
      </c>
      <c r="B7" s="53" t="s">
        <v>107</v>
      </c>
      <c r="C7" s="52">
        <f>'Page1|Страница 1'!AF44</f>
        <v>0</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row>
    <row r="8" spans="1:49">
      <c r="A8" s="51">
        <v>6</v>
      </c>
      <c r="B8" s="53" t="s">
        <v>471</v>
      </c>
      <c r="C8" s="52" t="str">
        <f>'Page1|Страница 1'!N46</f>
        <v>н-Декан (n-C10H22)</v>
      </c>
      <c r="H8" s="51"/>
      <c r="I8" s="51"/>
      <c r="J8" s="51"/>
      <c r="K8" s="51"/>
      <c r="L8" s="51"/>
      <c r="M8" s="51"/>
      <c r="N8" s="51"/>
      <c r="O8" s="51"/>
      <c r="P8" s="51"/>
      <c r="Q8" s="51"/>
      <c r="R8" s="51"/>
      <c r="S8" s="51"/>
      <c r="T8" s="51"/>
      <c r="U8" s="51"/>
    </row>
    <row r="9" spans="1:49">
      <c r="A9" s="51">
        <v>7</v>
      </c>
      <c r="B9" s="53" t="s">
        <v>472</v>
      </c>
      <c r="C9" s="52">
        <f>'Page1|Страница 1'!V46</f>
        <v>0</v>
      </c>
      <c r="H9" s="51"/>
      <c r="I9" s="51"/>
      <c r="J9" s="51"/>
      <c r="K9" s="51"/>
      <c r="L9" s="51"/>
      <c r="M9" s="51"/>
      <c r="N9" s="51"/>
      <c r="O9" s="51"/>
      <c r="P9" s="51"/>
      <c r="Q9" s="51"/>
      <c r="R9" s="51"/>
      <c r="S9" s="51"/>
      <c r="T9" s="51"/>
      <c r="U9" s="51"/>
      <c r="V9" s="51"/>
      <c r="W9" s="51"/>
      <c r="X9" s="51"/>
      <c r="Y9" s="51"/>
      <c r="Z9" s="51"/>
      <c r="AA9" s="51"/>
      <c r="AB9" s="51"/>
      <c r="AC9" s="51"/>
    </row>
    <row r="10" spans="1:49">
      <c r="A10" s="51">
        <v>8</v>
      </c>
      <c r="B10" s="53" t="s">
        <v>473</v>
      </c>
      <c r="C10" s="52" t="str">
        <f>'Page1|Страница 1'!AC46</f>
        <v>и-Бутан (i-C4H10)</v>
      </c>
    </row>
    <row r="11" spans="1:49">
      <c r="A11" s="51">
        <v>9</v>
      </c>
      <c r="B11" s="53" t="s">
        <v>474</v>
      </c>
      <c r="C11" s="52">
        <f>'Page1|Страница 1'!AK46</f>
        <v>0</v>
      </c>
    </row>
    <row r="12" spans="1:49">
      <c r="A12" s="51">
        <v>10</v>
      </c>
      <c r="B12" s="53" t="s">
        <v>475</v>
      </c>
      <c r="C12" s="52" t="str">
        <f>'Page1|Страница 1'!N48</f>
        <v>Азот (N2)</v>
      </c>
    </row>
    <row r="13" spans="1:49">
      <c r="A13" s="51">
        <v>11</v>
      </c>
      <c r="B13" s="53" t="s">
        <v>476</v>
      </c>
      <c r="C13" s="52">
        <f>'Page1|Страница 1'!V48</f>
        <v>0</v>
      </c>
    </row>
    <row r="14" spans="1:49">
      <c r="A14" s="51">
        <v>12</v>
      </c>
      <c r="B14" s="53" t="s">
        <v>477</v>
      </c>
      <c r="C14" s="57" t="str">
        <f>'Page1|Страница 1'!AC48</f>
        <v>н-Бутан (n-C4H10)</v>
      </c>
    </row>
    <row r="15" spans="1:49">
      <c r="A15" s="51">
        <v>13</v>
      </c>
      <c r="B15" s="53" t="s">
        <v>478</v>
      </c>
      <c r="C15" s="57">
        <f>'Page1|Страница 1'!AK48</f>
        <v>0</v>
      </c>
    </row>
    <row r="16" spans="1:49">
      <c r="A16" s="51">
        <v>14</v>
      </c>
      <c r="B16" s="53" t="s">
        <v>479</v>
      </c>
      <c r="C16" s="52" t="str">
        <f>'Page1|Страница 1'!N50</f>
        <v>Этан (С2Н4)</v>
      </c>
    </row>
    <row r="17" spans="1:5">
      <c r="A17" s="51">
        <v>15</v>
      </c>
      <c r="B17" s="53" t="s">
        <v>480</v>
      </c>
      <c r="C17" s="52">
        <f>'Page1|Страница 1'!V50</f>
        <v>0</v>
      </c>
    </row>
    <row r="18" spans="1:5">
      <c r="A18" s="51">
        <v>16</v>
      </c>
      <c r="B18" s="53" t="s">
        <v>481</v>
      </c>
      <c r="C18" s="52" t="str">
        <f>'Page1|Страница 1'!AC50</f>
        <v>и-Пентан (i-C5H12)</v>
      </c>
    </row>
    <row r="19" spans="1:5">
      <c r="A19" s="51">
        <v>17</v>
      </c>
      <c r="B19" s="53" t="s">
        <v>484</v>
      </c>
      <c r="C19" s="52">
        <f>'Page1|Страница 1'!AK50</f>
        <v>0</v>
      </c>
    </row>
    <row r="20" spans="1:5">
      <c r="A20" s="51">
        <v>18</v>
      </c>
      <c r="B20" s="53" t="s">
        <v>482</v>
      </c>
      <c r="C20" s="52" t="str">
        <f>'Page1|Страница 1'!N52</f>
        <v>Пропан (С3Н8)</v>
      </c>
    </row>
    <row r="21" spans="1:5">
      <c r="A21" s="51">
        <v>19</v>
      </c>
      <c r="B21" s="53" t="s">
        <v>483</v>
      </c>
      <c r="C21" s="52">
        <f>'Page1|Страница 1'!V52</f>
        <v>0</v>
      </c>
    </row>
    <row r="22" spans="1:5">
      <c r="A22" s="51">
        <v>20</v>
      </c>
      <c r="B22" s="53" t="s">
        <v>485</v>
      </c>
      <c r="C22" s="52" t="str">
        <f>'Page1|Страница 1'!AC52</f>
        <v>Метан (CH4)</v>
      </c>
    </row>
    <row r="23" spans="1:5">
      <c r="A23" s="51">
        <v>21</v>
      </c>
      <c r="B23" s="53" t="s">
        <v>486</v>
      </c>
      <c r="C23" s="52">
        <f>'Page1|Страница 1'!AK52</f>
        <v>0</v>
      </c>
    </row>
    <row r="24" spans="1:5">
      <c r="A24" s="51">
        <v>22</v>
      </c>
      <c r="B24" s="53" t="s">
        <v>110</v>
      </c>
      <c r="C24" s="52" t="str">
        <f>'Page1|Страница 1'!N84</f>
        <v>Нет</v>
      </c>
    </row>
    <row r="25" spans="1:5">
      <c r="A25" s="51">
        <v>23</v>
      </c>
      <c r="B25" s="53" t="s">
        <v>487</v>
      </c>
      <c r="C25" s="52">
        <f>'Page1|Страница 1'!N86</f>
        <v>0</v>
      </c>
    </row>
    <row r="26" spans="1:5">
      <c r="A26" s="51">
        <v>24</v>
      </c>
      <c r="B26" s="53" t="s">
        <v>488</v>
      </c>
      <c r="C26" s="52">
        <f>'Page1|Страница 1'!AD86</f>
        <v>0</v>
      </c>
      <c r="D26" s="51" t="str">
        <f>'Page1|Страница 1'!R86</f>
        <v>°C</v>
      </c>
    </row>
    <row r="27" spans="1:5">
      <c r="A27" s="51">
        <v>25</v>
      </c>
      <c r="B27" s="53" t="s">
        <v>489</v>
      </c>
      <c r="C27" s="52">
        <f>'Page1|Страница 1'!N62</f>
        <v>0</v>
      </c>
      <c r="D27" s="51" t="str">
        <f>'Page1|Страница 1'!AH86</f>
        <v>°C</v>
      </c>
    </row>
    <row r="28" spans="1:5">
      <c r="A28" s="51">
        <v>26</v>
      </c>
      <c r="B28" s="53" t="s">
        <v>490</v>
      </c>
      <c r="C28" s="52">
        <f>'Page1|Страница 1'!AD62</f>
        <v>0</v>
      </c>
      <c r="D28" s="51" t="str">
        <f>'Page1|Страница 1'!R62</f>
        <v>м³/ч</v>
      </c>
    </row>
    <row r="29" spans="1:5">
      <c r="A29" s="51">
        <v>27</v>
      </c>
      <c r="B29" s="53" t="s">
        <v>491</v>
      </c>
      <c r="C29" s="52">
        <f>'Page1|Страница 1'!V62</f>
        <v>0</v>
      </c>
      <c r="D29" s="51" t="str">
        <f>'Page1|Страница 1'!AH62</f>
        <v>м³/ч</v>
      </c>
    </row>
    <row r="30" spans="1:5">
      <c r="A30" s="51">
        <v>28</v>
      </c>
      <c r="B30" s="53" t="s">
        <v>492</v>
      </c>
      <c r="C30" s="52">
        <f>'Page1|Страница 1'!N66</f>
        <v>0</v>
      </c>
      <c r="D30" s="51">
        <f>'Page1|Страница 1'!AA62</f>
        <v>0</v>
      </c>
    </row>
    <row r="31" spans="1:5">
      <c r="A31" s="51">
        <v>29</v>
      </c>
      <c r="B31" s="53" t="s">
        <v>493</v>
      </c>
      <c r="C31" s="52">
        <f>'Page1|Страница 1'!AD66</f>
        <v>0</v>
      </c>
      <c r="D31" s="51" t="str">
        <f>'Page1|Страница 1'!R66</f>
        <v>м/с</v>
      </c>
      <c r="E31" s="52"/>
    </row>
    <row r="32" spans="1:5">
      <c r="A32" s="51">
        <v>30</v>
      </c>
      <c r="B32" s="53" t="s">
        <v>494</v>
      </c>
      <c r="C32" s="52">
        <f>'Page1|Страница 1'!V66</f>
        <v>0</v>
      </c>
      <c r="D32" s="51" t="str">
        <f>'Page1|Страница 1'!AH66</f>
        <v>м/с</v>
      </c>
      <c r="E32" s="52"/>
    </row>
    <row r="33" spans="1:5">
      <c r="A33" s="51">
        <v>31</v>
      </c>
      <c r="B33" s="53" t="s">
        <v>495</v>
      </c>
      <c r="C33" s="52">
        <f>'Page1|Страница 1'!N68</f>
        <v>0</v>
      </c>
      <c r="D33" s="51" t="str">
        <f>'Page1|Страница 1'!Z66</f>
        <v>м/с</v>
      </c>
      <c r="E33" s="52"/>
    </row>
    <row r="34" spans="1:5">
      <c r="A34" s="51">
        <v>32</v>
      </c>
      <c r="B34" s="53" t="s">
        <v>496</v>
      </c>
      <c r="C34" s="52">
        <f>'Page1|Страница 1'!AD68</f>
        <v>0</v>
      </c>
      <c r="D34" s="51" t="str">
        <f>'Page1|Страница 1'!R68</f>
        <v>°C</v>
      </c>
      <c r="E34" s="52"/>
    </row>
    <row r="35" spans="1:5">
      <c r="A35" s="51">
        <v>33</v>
      </c>
      <c r="B35" s="53" t="s">
        <v>497</v>
      </c>
      <c r="C35" s="52">
        <f>'Page1|Страница 1'!V68</f>
        <v>0</v>
      </c>
      <c r="D35" s="51" t="str">
        <f>'Page1|Страница 1'!AH68</f>
        <v>°C</v>
      </c>
      <c r="E35" s="52"/>
    </row>
    <row r="36" spans="1:5">
      <c r="A36" s="51">
        <v>34</v>
      </c>
      <c r="B36" s="53" t="s">
        <v>49</v>
      </c>
      <c r="C36" s="52">
        <f>'Page1|Страница 1'!N70</f>
        <v>0</v>
      </c>
      <c r="D36" s="51" t="str">
        <f>'Page1|Страница 1'!Z68</f>
        <v>°C</v>
      </c>
      <c r="E36" s="52"/>
    </row>
    <row r="37" spans="1:5">
      <c r="A37" s="51">
        <v>35</v>
      </c>
      <c r="B37" s="53" t="s">
        <v>51</v>
      </c>
      <c r="C37" s="52">
        <f>'Page1|Страница 1'!AD70</f>
        <v>0</v>
      </c>
      <c r="D37" s="51" t="str">
        <f>'Page1|Страница 1'!R70</f>
        <v>бар(и)</v>
      </c>
      <c r="E37" s="52"/>
    </row>
    <row r="38" spans="1:5">
      <c r="A38" s="51">
        <v>36</v>
      </c>
      <c r="B38" s="53" t="s">
        <v>50</v>
      </c>
      <c r="C38" s="52">
        <f>'Page1|Страница 1'!V70</f>
        <v>0</v>
      </c>
      <c r="D38" s="51" t="str">
        <f>'Page1|Страница 1'!AH70</f>
        <v>бар(и)</v>
      </c>
      <c r="E38" s="52"/>
    </row>
    <row r="39" spans="1:5">
      <c r="A39" s="51">
        <v>37</v>
      </c>
      <c r="B39" s="53" t="s">
        <v>242</v>
      </c>
      <c r="C39" s="52" t="str">
        <f>'Page2|Страница 2'!M39</f>
        <v>AGA9</v>
      </c>
      <c r="D39" s="51" t="str">
        <f>'Page1|Страница 1'!Z70</f>
        <v>бар(и)</v>
      </c>
      <c r="E39" s="52"/>
    </row>
    <row r="40" spans="1:5">
      <c r="A40" s="51">
        <v>38</v>
      </c>
      <c r="B40" s="53" t="s">
        <v>243</v>
      </c>
      <c r="C40" s="58">
        <f>'Page2|Страница 2'!AC39</f>
        <v>0</v>
      </c>
      <c r="E40" s="52"/>
    </row>
    <row r="41" spans="1:5">
      <c r="A41" s="51">
        <v>39</v>
      </c>
      <c r="B41" s="53" t="s">
        <v>389</v>
      </c>
      <c r="C41" s="52" t="str">
        <f>'Page2|Страница 2'!M64</f>
        <v>Сухая калибровка (+/- 0,5% - 4 луча; +/-1% - 2 луча)</v>
      </c>
    </row>
    <row r="42" spans="1:5">
      <c r="A42" s="51">
        <v>40</v>
      </c>
      <c r="B42" s="53" t="s">
        <v>52</v>
      </c>
      <c r="C42" s="52">
        <f>'Page2|Страница 2'!M66</f>
        <v>0</v>
      </c>
    </row>
    <row r="43" spans="1:5">
      <c r="A43" s="51">
        <v>41</v>
      </c>
      <c r="B43" s="53" t="s">
        <v>53</v>
      </c>
      <c r="C43" s="52">
        <f>'Page2|Страница 2'!M68</f>
        <v>0</v>
      </c>
      <c r="D43" s="56"/>
    </row>
    <row r="44" spans="1:5">
      <c r="A44" s="51">
        <v>42</v>
      </c>
      <c r="B44" s="53" t="s">
        <v>324</v>
      </c>
      <c r="C44" s="52">
        <f>'Page2|Страница 2'!M70</f>
        <v>0</v>
      </c>
    </row>
    <row r="45" spans="1:5">
      <c r="A45" s="51">
        <v>43</v>
      </c>
      <c r="B45" s="53" t="s">
        <v>325</v>
      </c>
      <c r="C45" s="52">
        <f>'Page2|Страница 2'!AC70</f>
        <v>0</v>
      </c>
      <c r="D45" s="56" t="str">
        <f>'Page2|Страница 2'!S70</f>
        <v>м³/ч</v>
      </c>
    </row>
    <row r="46" spans="1:5">
      <c r="A46" s="51">
        <v>44</v>
      </c>
      <c r="B46" s="53" t="s">
        <v>383</v>
      </c>
      <c r="C46" s="52">
        <f>'Page1|Страница 1'!AI36</f>
        <v>0</v>
      </c>
    </row>
    <row r="47" spans="1:5">
      <c r="A47" s="51">
        <v>45</v>
      </c>
      <c r="B47" s="53" t="s">
        <v>23</v>
      </c>
      <c r="C47" s="58">
        <f>'Page1|Страница 1'!AE30</f>
        <v>0</v>
      </c>
    </row>
    <row r="48" spans="1:5">
      <c r="A48" s="51">
        <v>46</v>
      </c>
      <c r="B48" s="53" t="s">
        <v>323</v>
      </c>
      <c r="C48" s="52" t="str">
        <f>'Page2|Страница 2'!M52</f>
        <v>ГОСТ Р МЭК 60079 IIC T4 (M20x1.5)</v>
      </c>
    </row>
    <row r="49" spans="1:4">
      <c r="A49" s="51">
        <v>47</v>
      </c>
      <c r="B49" s="53" t="s">
        <v>41</v>
      </c>
      <c r="C49" s="52" t="str">
        <f>'Page2|Страница 2'!M56</f>
        <v>LCD</v>
      </c>
    </row>
    <row r="50" spans="1:4">
      <c r="A50" s="51">
        <v>48</v>
      </c>
      <c r="B50" s="53" t="s">
        <v>245</v>
      </c>
      <c r="C50" s="52" t="str">
        <f>'Page2|Страница 2'!AD54</f>
        <v/>
      </c>
    </row>
    <row r="51" spans="1:4">
      <c r="A51" s="51">
        <v>49</v>
      </c>
      <c r="B51" s="53" t="s">
        <v>365</v>
      </c>
      <c r="C51" s="52">
        <f>'Page2|Страница 2'!M24</f>
        <v>0</v>
      </c>
    </row>
    <row r="52" spans="1:4">
      <c r="A52" s="51">
        <v>50</v>
      </c>
      <c r="B52" s="53" t="s">
        <v>56</v>
      </c>
      <c r="C52" s="52" t="str">
        <f>IF(LEFT('Page2|Страница 2'!M16,3)="DIN","DIN/EN",IF('Page2|Страница 2'!M16="","0","ANSI"))</f>
        <v>0</v>
      </c>
    </row>
    <row r="53" spans="1:4">
      <c r="A53" s="51">
        <v>51</v>
      </c>
      <c r="B53" s="53" t="s">
        <v>57</v>
      </c>
      <c r="C53" s="52" t="str">
        <f>RIGHT('Page2|Страница 2'!M16,6)</f>
        <v/>
      </c>
    </row>
    <row r="54" spans="1:4">
      <c r="A54" s="51">
        <v>52</v>
      </c>
      <c r="B54" s="53" t="s">
        <v>353</v>
      </c>
      <c r="C54" s="52">
        <f>'Page2|Страница 2'!M20</f>
        <v>0</v>
      </c>
      <c r="D54" s="56"/>
    </row>
    <row r="55" spans="1:4">
      <c r="A55" s="51">
        <v>53</v>
      </c>
      <c r="B55" s="53" t="s">
        <v>58</v>
      </c>
      <c r="C55" s="52">
        <f>'Page2|Страница 2'!AC20</f>
        <v>0</v>
      </c>
    </row>
    <row r="56" spans="1:4">
      <c r="A56" s="51">
        <v>54</v>
      </c>
      <c r="B56" s="53" t="s">
        <v>449</v>
      </c>
      <c r="C56" s="52">
        <f>'Page2|Страница 2'!M14</f>
        <v>0</v>
      </c>
    </row>
    <row r="57" spans="1:4">
      <c r="A57" s="51">
        <v>55</v>
      </c>
      <c r="B57" s="53" t="s">
        <v>34</v>
      </c>
      <c r="C57" s="52">
        <f>'Page2|Страница 2'!M30</f>
        <v>0</v>
      </c>
    </row>
    <row r="58" spans="1:4">
      <c r="A58" s="51">
        <v>56</v>
      </c>
      <c r="B58" s="53" t="s">
        <v>361</v>
      </c>
      <c r="C58" s="52">
        <f>'Page2|Страница 2'!T46</f>
        <v>0</v>
      </c>
    </row>
    <row r="59" spans="1:4">
      <c r="A59" s="51">
        <v>57</v>
      </c>
    </row>
    <row r="60" spans="1:4">
      <c r="A60" s="51">
        <v>58</v>
      </c>
    </row>
    <row r="61" spans="1:4">
      <c r="A61" s="51">
        <v>59</v>
      </c>
    </row>
    <row r="62" spans="1:4">
      <c r="A62" s="51">
        <v>60</v>
      </c>
      <c r="B62" s="53" t="s">
        <v>149</v>
      </c>
      <c r="C62" s="52" t="e">
        <f>Data!EY4</f>
        <v>#N/A</v>
      </c>
    </row>
    <row r="63" spans="1:4">
      <c r="A63" s="51">
        <v>61</v>
      </c>
      <c r="B63" s="53" t="s">
        <v>230</v>
      </c>
      <c r="C63" s="52">
        <f>'Page3|Страница 3'!P8</f>
        <v>1</v>
      </c>
      <c r="D63" s="56"/>
    </row>
    <row r="64" spans="1:4">
      <c r="A64" s="51">
        <v>62</v>
      </c>
      <c r="B64" s="53" t="s">
        <v>62</v>
      </c>
      <c r="C64" s="52">
        <f>'Page3|Страница 3'!K47</f>
        <v>0</v>
      </c>
      <c r="D64" s="56"/>
    </row>
    <row r="65" spans="1:4">
      <c r="A65" s="51">
        <v>63</v>
      </c>
      <c r="B65" s="53" t="s">
        <v>63</v>
      </c>
      <c r="C65" s="52">
        <f>'Page3|Страница 3'!K50</f>
        <v>0</v>
      </c>
      <c r="D65" s="56"/>
    </row>
    <row r="66" spans="1:4">
      <c r="A66" s="51">
        <v>64</v>
      </c>
      <c r="B66" s="53" t="s">
        <v>64</v>
      </c>
      <c r="C66" s="52">
        <f>'Page3|Страница 3'!K53</f>
        <v>0</v>
      </c>
    </row>
    <row r="67" spans="1:4">
      <c r="A67" s="51">
        <v>65</v>
      </c>
      <c r="B67" s="53" t="s">
        <v>65</v>
      </c>
      <c r="C67" s="52">
        <f>'Page3|Страница 3'!K56</f>
        <v>0</v>
      </c>
    </row>
    <row r="68" spans="1:4">
      <c r="A68" s="51">
        <v>66</v>
      </c>
      <c r="B68" s="53" t="s">
        <v>66</v>
      </c>
      <c r="C68" s="52">
        <f>'Page3|Страница 3'!K59</f>
        <v>0</v>
      </c>
    </row>
    <row r="69" spans="1:4">
      <c r="A69" s="51">
        <v>67</v>
      </c>
      <c r="B69" s="53" t="s">
        <v>71</v>
      </c>
      <c r="C69" s="52">
        <f>'Page3|Страница 3'!Z47</f>
        <v>0</v>
      </c>
    </row>
    <row r="70" spans="1:4">
      <c r="A70" s="51">
        <v>68</v>
      </c>
      <c r="B70" s="53" t="s">
        <v>72</v>
      </c>
      <c r="C70" s="52">
        <f>'Page3|Страница 3'!Z53</f>
        <v>0</v>
      </c>
    </row>
    <row r="71" spans="1:4">
      <c r="A71" s="51">
        <v>69</v>
      </c>
      <c r="B71" s="53" t="s">
        <v>73</v>
      </c>
      <c r="C71" s="52">
        <f>'Page3|Страница 3'!Z56</f>
        <v>0</v>
      </c>
    </row>
    <row r="72" spans="1:4">
      <c r="A72" s="51">
        <v>70</v>
      </c>
      <c r="B72" s="53" t="s">
        <v>74</v>
      </c>
      <c r="C72" s="52">
        <f>'Page3|Страница 3'!Z59</f>
        <v>0</v>
      </c>
    </row>
    <row r="73" spans="1:4">
      <c r="A73" s="51">
        <v>71</v>
      </c>
      <c r="B73" s="53" t="s">
        <v>67</v>
      </c>
      <c r="C73" s="52">
        <f>'Page3|Страница 3'!AE47</f>
        <v>0</v>
      </c>
    </row>
    <row r="74" spans="1:4">
      <c r="A74" s="51">
        <v>72</v>
      </c>
      <c r="B74" s="53" t="s">
        <v>68</v>
      </c>
      <c r="C74" s="52">
        <f>'Page3|Страница 3'!AE53</f>
        <v>0</v>
      </c>
    </row>
    <row r="75" spans="1:4">
      <c r="A75" s="51">
        <v>73</v>
      </c>
      <c r="B75" s="53" t="s">
        <v>69</v>
      </c>
      <c r="C75" s="52">
        <f>'Page3|Страница 3'!AE56</f>
        <v>0</v>
      </c>
    </row>
    <row r="76" spans="1:4">
      <c r="A76" s="51">
        <v>74</v>
      </c>
      <c r="B76" s="53" t="s">
        <v>70</v>
      </c>
      <c r="C76" s="52">
        <f>'Page3|Страница 3'!AE59</f>
        <v>0</v>
      </c>
    </row>
    <row r="77" spans="1:4">
      <c r="A77" s="51">
        <v>75</v>
      </c>
      <c r="B77" s="53" t="s">
        <v>59</v>
      </c>
      <c r="C77" s="52">
        <f>'Page3|Страница 3'!L64</f>
        <v>0</v>
      </c>
    </row>
    <row r="78" spans="1:4">
      <c r="A78" s="51">
        <v>76</v>
      </c>
      <c r="B78" s="53" t="s">
        <v>36</v>
      </c>
      <c r="C78" s="52">
        <f>'Page3|Страница 3'!L66</f>
        <v>0</v>
      </c>
      <c r="D78" s="51">
        <f>'Page3|Страница 3'!P66</f>
        <v>0</v>
      </c>
    </row>
    <row r="79" spans="1:4">
      <c r="A79" s="51">
        <v>77</v>
      </c>
      <c r="B79" s="53" t="s">
        <v>37</v>
      </c>
      <c r="C79" s="52">
        <f>'Page3|Страница 3'!L68</f>
        <v>0</v>
      </c>
      <c r="D79" s="51">
        <f>'Page3|Страница 3'!P68</f>
        <v>0</v>
      </c>
    </row>
    <row r="80" spans="1:4">
      <c r="A80" s="51">
        <v>78</v>
      </c>
      <c r="B80" s="53" t="s">
        <v>60</v>
      </c>
      <c r="C80" s="52">
        <f>'Page3|Страница 3'!L70</f>
        <v>0</v>
      </c>
    </row>
    <row r="81" spans="1:10">
      <c r="A81" s="51">
        <v>79</v>
      </c>
      <c r="B81" s="53" t="s">
        <v>61</v>
      </c>
      <c r="C81" s="52">
        <f>'Page3|Страница 3'!Z66</f>
        <v>0</v>
      </c>
      <c r="D81" s="51">
        <f>'Page3|Страница 3'!AE66</f>
        <v>0</v>
      </c>
      <c r="H81" s="51"/>
      <c r="I81" s="51"/>
      <c r="J81" s="51"/>
    </row>
    <row r="82" spans="1:10">
      <c r="A82" s="51">
        <v>80</v>
      </c>
    </row>
    <row r="83" spans="1:10">
      <c r="A83" s="51">
        <v>81</v>
      </c>
    </row>
    <row r="84" spans="1:10">
      <c r="A84" s="51">
        <v>82</v>
      </c>
    </row>
    <row r="85" spans="1:10">
      <c r="A85" s="51">
        <v>83</v>
      </c>
    </row>
    <row r="86" spans="1:10">
      <c r="A86" s="51">
        <v>84</v>
      </c>
    </row>
    <row r="87" spans="1:10">
      <c r="A87" s="51">
        <v>85</v>
      </c>
    </row>
    <row r="88" spans="1:10">
      <c r="A88" s="51">
        <v>86</v>
      </c>
    </row>
    <row r="89" spans="1:10">
      <c r="A89" s="51">
        <v>87</v>
      </c>
    </row>
    <row r="90" spans="1:10">
      <c r="A90" s="51">
        <v>88</v>
      </c>
      <c r="D90" s="56"/>
    </row>
    <row r="91" spans="1:10">
      <c r="A91" s="51">
        <v>89</v>
      </c>
    </row>
    <row r="92" spans="1:10">
      <c r="A92" s="51">
        <v>90</v>
      </c>
      <c r="B92" s="53" t="s">
        <v>114</v>
      </c>
      <c r="C92" s="58">
        <f>'Page1|Страница 1'!K14</f>
        <v>0</v>
      </c>
    </row>
    <row r="93" spans="1:10">
      <c r="A93" s="51">
        <v>91</v>
      </c>
      <c r="B93" s="53" t="s">
        <v>670</v>
      </c>
      <c r="C93" s="58">
        <f>'Page1|Страница 1'!K16</f>
        <v>0</v>
      </c>
    </row>
    <row r="94" spans="1:10">
      <c r="A94" s="51">
        <v>92</v>
      </c>
      <c r="B94" s="53" t="s">
        <v>671</v>
      </c>
      <c r="C94" s="58">
        <f>'Page1|Страница 1'!K18</f>
        <v>0</v>
      </c>
      <c r="D94" s="56"/>
    </row>
    <row r="95" spans="1:10">
      <c r="A95" s="51">
        <v>93</v>
      </c>
      <c r="B95" s="53" t="s">
        <v>672</v>
      </c>
      <c r="C95" s="58">
        <f>'Page1|Страница 1'!K20</f>
        <v>0</v>
      </c>
      <c r="D95" s="56"/>
      <c r="E95" s="54"/>
    </row>
    <row r="96" spans="1:10">
      <c r="A96" s="51">
        <v>94</v>
      </c>
      <c r="B96" s="53" t="s">
        <v>10</v>
      </c>
      <c r="C96" s="58">
        <f>'Page1|Страница 1'!K22</f>
        <v>0</v>
      </c>
      <c r="D96" s="56"/>
    </row>
    <row r="97" spans="1:5">
      <c r="A97" s="51">
        <v>95</v>
      </c>
      <c r="B97" s="53" t="s">
        <v>673</v>
      </c>
      <c r="C97" s="58">
        <f>'Page1|Страница 1'!K24</f>
        <v>0</v>
      </c>
      <c r="E97" s="52"/>
    </row>
    <row r="98" spans="1:5">
      <c r="A98" s="51">
        <v>96</v>
      </c>
      <c r="B98" s="53" t="s">
        <v>115</v>
      </c>
      <c r="C98" s="58">
        <f>'Page1|Страница 1'!K28</f>
        <v>0</v>
      </c>
    </row>
    <row r="99" spans="1:5">
      <c r="A99" s="51">
        <v>97</v>
      </c>
      <c r="B99" s="53" t="s">
        <v>15</v>
      </c>
      <c r="C99" s="58">
        <f>'Page1|Страница 1'!K30</f>
        <v>0</v>
      </c>
    </row>
    <row r="100" spans="1:5">
      <c r="A100" s="51">
        <v>98</v>
      </c>
      <c r="B100" s="53" t="s">
        <v>115</v>
      </c>
      <c r="C100" s="58">
        <f>'Page1|Страница 1'!AE22</f>
        <v>0</v>
      </c>
      <c r="D100" s="56"/>
    </row>
    <row r="101" spans="1:5">
      <c r="A101" s="51">
        <v>99</v>
      </c>
      <c r="B101" s="53" t="s">
        <v>15</v>
      </c>
      <c r="C101" s="58">
        <f>'Page1|Страница 1'!AE24</f>
        <v>0</v>
      </c>
      <c r="D101" s="56"/>
    </row>
    <row r="102" spans="1:5">
      <c r="A102" s="51">
        <v>100</v>
      </c>
      <c r="B102" s="53" t="s">
        <v>117</v>
      </c>
      <c r="C102" s="79">
        <f>'Page1|Страница 1'!AE26</f>
        <v>0</v>
      </c>
      <c r="D102" s="56"/>
    </row>
    <row r="103" spans="1:5">
      <c r="A103" s="51">
        <v>101</v>
      </c>
      <c r="B103" s="53" t="s">
        <v>674</v>
      </c>
      <c r="C103" s="58">
        <f>'Page1|Страница 1'!AE28</f>
        <v>0</v>
      </c>
      <c r="D103" s="56"/>
    </row>
    <row r="104" spans="1:5">
      <c r="A104" s="51">
        <v>102</v>
      </c>
      <c r="C104" s="58"/>
      <c r="D104" s="56"/>
    </row>
    <row r="105" spans="1:5">
      <c r="A105" s="51">
        <v>103</v>
      </c>
      <c r="B105" s="53" t="s">
        <v>348</v>
      </c>
      <c r="C105" s="52">
        <f>'Page1|Страница 1'!W36</f>
        <v>0</v>
      </c>
      <c r="D105" s="56"/>
    </row>
    <row r="106" spans="1:5">
      <c r="A106" s="51">
        <v>104</v>
      </c>
      <c r="C106" s="58"/>
      <c r="D106" s="56"/>
    </row>
    <row r="107" spans="1:5">
      <c r="A107" s="51">
        <v>105</v>
      </c>
      <c r="B107" s="53" t="s">
        <v>362</v>
      </c>
      <c r="C107" s="52">
        <f>'Page1|Страница 1'!N54</f>
        <v>0</v>
      </c>
    </row>
    <row r="108" spans="1:5">
      <c r="A108" s="51">
        <v>106</v>
      </c>
      <c r="B108" s="53" t="s">
        <v>675</v>
      </c>
      <c r="C108" s="58">
        <f>'Page1|Страница 1'!AE54</f>
        <v>0</v>
      </c>
      <c r="D108" s="56">
        <f>'Page1|Страница 1'!AM54</f>
        <v>0</v>
      </c>
    </row>
    <row r="109" spans="1:5">
      <c r="A109" s="51">
        <v>107</v>
      </c>
      <c r="B109" s="53" t="s">
        <v>676</v>
      </c>
      <c r="C109" s="58">
        <f>'Page1|Страница 1'!AE56</f>
        <v>0</v>
      </c>
      <c r="D109" s="56">
        <f>'Page1|Страница 1'!AM56</f>
        <v>0</v>
      </c>
    </row>
    <row r="110" spans="1:5">
      <c r="A110" s="51">
        <v>108</v>
      </c>
    </row>
    <row r="111" spans="1:5">
      <c r="A111" s="51">
        <v>109</v>
      </c>
      <c r="B111" s="53" t="s">
        <v>677</v>
      </c>
      <c r="C111" s="52">
        <f>'Page1|Страница 1'!N64</f>
        <v>0</v>
      </c>
      <c r="D111" s="51" t="str">
        <f>'Page1|Страница 1'!R64</f>
        <v>Нм³/ч</v>
      </c>
    </row>
    <row r="112" spans="1:5">
      <c r="A112" s="51">
        <v>110</v>
      </c>
      <c r="B112" s="53" t="s">
        <v>678</v>
      </c>
      <c r="C112" s="52">
        <f>'Page1|Страница 1'!V64</f>
        <v>0</v>
      </c>
      <c r="D112" s="51" t="str">
        <f>'Page1|Страница 1'!Z64</f>
        <v>Нм³/ч</v>
      </c>
    </row>
    <row r="113" spans="1:4">
      <c r="A113" s="51">
        <v>111</v>
      </c>
      <c r="B113" s="53" t="s">
        <v>679</v>
      </c>
      <c r="C113" s="52">
        <f>'Page1|Страница 1'!AD64</f>
        <v>0</v>
      </c>
      <c r="D113" s="56" t="str">
        <f>'Page1|Страница 1'!AH64</f>
        <v>Нм³/ч</v>
      </c>
    </row>
    <row r="114" spans="1:4">
      <c r="A114" s="51">
        <v>112</v>
      </c>
      <c r="B114" s="53" t="s">
        <v>680</v>
      </c>
      <c r="C114" s="52">
        <f>'Page1|Страница 1'!N66</f>
        <v>0</v>
      </c>
      <c r="D114" s="52" t="str">
        <f>'Page1|Страница 1'!R66</f>
        <v>м/с</v>
      </c>
    </row>
    <row r="115" spans="1:4">
      <c r="A115" s="51">
        <v>113</v>
      </c>
      <c r="B115" s="53" t="s">
        <v>681</v>
      </c>
      <c r="C115" s="52">
        <f>'Page1|Страница 1'!V66</f>
        <v>0</v>
      </c>
      <c r="D115" s="52" t="str">
        <f>'Page1|Страница 1'!Z66</f>
        <v>м/с</v>
      </c>
    </row>
    <row r="116" spans="1:4">
      <c r="A116" s="51">
        <v>114</v>
      </c>
      <c r="B116" s="53" t="s">
        <v>682</v>
      </c>
      <c r="C116" s="52">
        <f>'Page1|Страница 1'!AD66</f>
        <v>0</v>
      </c>
      <c r="D116" s="52" t="str">
        <f>'Page1|Страница 1'!AH66</f>
        <v>м/с</v>
      </c>
    </row>
    <row r="117" spans="1:4">
      <c r="A117" s="51">
        <v>115</v>
      </c>
      <c r="B117" s="53" t="s">
        <v>683</v>
      </c>
      <c r="C117" s="52">
        <f>'Page1|Страница 1'!N72</f>
        <v>0</v>
      </c>
      <c r="D117" s="51" t="str">
        <f>'Page1|Страница 1'!R72</f>
        <v>кг/ч</v>
      </c>
    </row>
    <row r="118" spans="1:4">
      <c r="A118" s="51">
        <v>116</v>
      </c>
      <c r="B118" s="53" t="s">
        <v>684</v>
      </c>
      <c r="C118" s="52">
        <f>'Page1|Страница 1'!V72</f>
        <v>0</v>
      </c>
      <c r="D118" s="51" t="str">
        <f>'Page1|Страница 1'!Z72</f>
        <v>кг/ч</v>
      </c>
    </row>
    <row r="119" spans="1:4">
      <c r="A119" s="51">
        <v>117</v>
      </c>
      <c r="B119" s="53" t="s">
        <v>685</v>
      </c>
      <c r="C119" s="52">
        <f>'Page1|Страница 1'!AD72</f>
        <v>0</v>
      </c>
      <c r="D119" s="51" t="str">
        <f>'Page1|Страница 1'!AH72</f>
        <v>кг/ч</v>
      </c>
    </row>
    <row r="120" spans="1:4">
      <c r="A120" s="51">
        <v>118</v>
      </c>
      <c r="B120" s="53" t="s">
        <v>686</v>
      </c>
      <c r="C120" s="52">
        <f>'Page1|Страница 1'!N74</f>
        <v>0</v>
      </c>
    </row>
    <row r="121" spans="1:4">
      <c r="A121" s="51">
        <v>119</v>
      </c>
      <c r="B121" s="53" t="s">
        <v>687</v>
      </c>
      <c r="C121" s="52">
        <f>'Page1|Страница 1'!V74</f>
        <v>0</v>
      </c>
    </row>
    <row r="122" spans="1:4">
      <c r="A122" s="51">
        <v>120</v>
      </c>
      <c r="B122" s="53" t="s">
        <v>688</v>
      </c>
      <c r="C122" s="59">
        <f>'Page1|Страница 1'!AD74</f>
        <v>0</v>
      </c>
    </row>
    <row r="123" spans="1:4">
      <c r="A123" s="51">
        <v>121</v>
      </c>
      <c r="B123" s="53" t="s">
        <v>689</v>
      </c>
      <c r="C123" s="52">
        <f>'Page1|Страница 1'!N76</f>
        <v>0</v>
      </c>
      <c r="D123" s="51" t="str">
        <f>'Page1|Страница 1'!R76</f>
        <v>кг/м³</v>
      </c>
    </row>
    <row r="124" spans="1:4">
      <c r="A124" s="51">
        <v>122</v>
      </c>
      <c r="B124" s="53" t="s">
        <v>690</v>
      </c>
      <c r="C124" s="52">
        <f>'Page1|Страница 1'!V76</f>
        <v>0</v>
      </c>
      <c r="D124" s="51" t="str">
        <f>'Page1|Страница 1'!Z76</f>
        <v>кг/м³</v>
      </c>
    </row>
    <row r="125" spans="1:4">
      <c r="A125" s="51">
        <v>123</v>
      </c>
      <c r="B125" s="53" t="s">
        <v>691</v>
      </c>
      <c r="C125" s="52">
        <f>'Page1|Страница 1'!AD76</f>
        <v>0</v>
      </c>
      <c r="D125" s="51" t="str">
        <f>'Page1|Страница 1'!AH76</f>
        <v>кг/м³</v>
      </c>
    </row>
    <row r="126" spans="1:4">
      <c r="A126" s="51">
        <v>124</v>
      </c>
      <c r="B126" s="53" t="s">
        <v>692</v>
      </c>
      <c r="C126" s="52">
        <f>'Page1|Страница 1'!N78</f>
        <v>0</v>
      </c>
      <c r="D126" s="51" t="str">
        <f>'Page1|Страница 1'!R78</f>
        <v>г/моль</v>
      </c>
    </row>
    <row r="127" spans="1:4">
      <c r="A127" s="51">
        <v>125</v>
      </c>
      <c r="B127" s="53" t="s">
        <v>693</v>
      </c>
      <c r="C127" s="52">
        <f>'Page1|Страница 1'!V78</f>
        <v>0</v>
      </c>
      <c r="D127" s="51" t="str">
        <f>'Page1|Страница 1'!Z78</f>
        <v>г/моль</v>
      </c>
    </row>
    <row r="128" spans="1:4">
      <c r="A128" s="51">
        <v>126</v>
      </c>
      <c r="B128" s="53" t="s">
        <v>694</v>
      </c>
      <c r="C128" s="52">
        <f>'Page1|Страница 1'!AD78</f>
        <v>0</v>
      </c>
      <c r="D128" s="51" t="str">
        <f>'Page1|Страница 1'!AH78</f>
        <v>г/моль</v>
      </c>
    </row>
    <row r="129" spans="1:7">
      <c r="A129" s="51">
        <v>127</v>
      </c>
    </row>
    <row r="130" spans="1:7">
      <c r="A130" s="51">
        <v>128</v>
      </c>
      <c r="B130" s="53" t="s">
        <v>35</v>
      </c>
      <c r="C130" s="52">
        <f>'Page2|Страница 2'!M12</f>
        <v>0</v>
      </c>
    </row>
    <row r="131" spans="1:7">
      <c r="A131" s="51">
        <v>129</v>
      </c>
      <c r="B131" s="53" t="s">
        <v>668</v>
      </c>
      <c r="C131" s="52">
        <f>'Page2|Страница 2'!M18</f>
        <v>0</v>
      </c>
    </row>
    <row r="132" spans="1:7">
      <c r="A132" s="51">
        <v>130</v>
      </c>
      <c r="B132" s="53" t="s">
        <v>315</v>
      </c>
      <c r="C132" s="52">
        <f>'Page2|Страница 2'!M26</f>
        <v>0</v>
      </c>
    </row>
    <row r="133" spans="1:7">
      <c r="A133" s="51">
        <v>131</v>
      </c>
      <c r="B133" s="53" t="s">
        <v>695</v>
      </c>
      <c r="C133" s="52">
        <f>'Page2|Страница 2'!M28</f>
        <v>0</v>
      </c>
      <c r="D133" s="51" t="str">
        <f>'Page2|Страница 2'!S28</f>
        <v>°C</v>
      </c>
    </row>
    <row r="134" spans="1:7">
      <c r="A134" s="51">
        <v>132</v>
      </c>
      <c r="B134" s="53" t="s">
        <v>696</v>
      </c>
      <c r="C134" s="52">
        <f>'Page2|Страница 2'!AE28</f>
        <v>0</v>
      </c>
      <c r="D134" s="51" t="str">
        <f>'Page2|Страница 2'!AM28</f>
        <v>°C</v>
      </c>
    </row>
    <row r="135" spans="1:7">
      <c r="A135" s="51">
        <v>133</v>
      </c>
      <c r="B135" s="53" t="s">
        <v>138</v>
      </c>
      <c r="C135" s="52">
        <f>'Page2|Страница 2'!M30</f>
        <v>0</v>
      </c>
      <c r="D135" s="51" t="str">
        <f>'Page2|Страница 2'!S30</f>
        <v>бар(и)</v>
      </c>
    </row>
    <row r="136" spans="1:7">
      <c r="A136" s="51">
        <v>134</v>
      </c>
      <c r="B136" s="53" t="s">
        <v>219</v>
      </c>
      <c r="C136" s="52" t="str">
        <f>'Page2|Страница 2'!M32</f>
        <v>Стандарт</v>
      </c>
    </row>
    <row r="137" spans="1:7">
      <c r="A137" s="51">
        <v>135</v>
      </c>
      <c r="B137" s="53" t="s">
        <v>697</v>
      </c>
      <c r="C137" s="52" t="str">
        <f>'Page2|Страница 2'!T32</f>
        <v>1 х 1/4'' NPT</v>
      </c>
    </row>
    <row r="138" spans="1:7">
      <c r="A138" s="51">
        <v>136</v>
      </c>
      <c r="B138" s="53" t="s">
        <v>642</v>
      </c>
      <c r="C138" s="52" t="str">
        <f>'Page2|Страница 2'!M36</f>
        <v>Стандарт</v>
      </c>
    </row>
    <row r="139" spans="1:7">
      <c r="A139" s="51">
        <v>137</v>
      </c>
      <c r="B139" s="53" t="s">
        <v>698</v>
      </c>
      <c r="C139" s="52">
        <f>'Page2|Страница 2'!T36</f>
        <v>0</v>
      </c>
    </row>
    <row r="140" spans="1:7">
      <c r="A140" s="51">
        <v>138</v>
      </c>
    </row>
    <row r="141" spans="1:7">
      <c r="A141" s="51">
        <v>139</v>
      </c>
      <c r="B141" s="53" t="s">
        <v>699</v>
      </c>
      <c r="C141" s="52" t="str">
        <f>'Page2|Страница 2'!M39</f>
        <v>AGA9</v>
      </c>
      <c r="G141" s="55"/>
    </row>
    <row r="142" spans="1:7">
      <c r="A142" s="51">
        <v>140</v>
      </c>
      <c r="B142" s="53" t="s">
        <v>358</v>
      </c>
      <c r="C142" s="52">
        <f>'Page2|Страница 2'!AC39</f>
        <v>0</v>
      </c>
    </row>
    <row r="143" spans="1:7">
      <c r="A143" s="51">
        <v>141</v>
      </c>
    </row>
    <row r="144" spans="1:7">
      <c r="A144" s="51">
        <v>142</v>
      </c>
      <c r="B144" s="53" t="s">
        <v>328</v>
      </c>
      <c r="C144" s="52" t="str">
        <f>'Page2|Страница 2'!M41</f>
        <v>Стандарт</v>
      </c>
    </row>
    <row r="145" spans="1:4">
      <c r="A145" s="51">
        <v>143</v>
      </c>
      <c r="B145" s="53" t="s">
        <v>208</v>
      </c>
      <c r="C145" s="52" t="str">
        <f ca="1">'Page2|Страница 2'!M43</f>
        <v>1.5 x расчётного давления</v>
      </c>
    </row>
    <row r="146" spans="1:4">
      <c r="A146" s="51">
        <v>144</v>
      </c>
      <c r="B146" s="53" t="s">
        <v>359</v>
      </c>
      <c r="C146" s="52">
        <f>'Page2|Страница 2'!AD43</f>
        <v>0</v>
      </c>
      <c r="D146" s="51" t="str">
        <f>'Page2|Страница 2'!AM43</f>
        <v>мин.</v>
      </c>
    </row>
    <row r="147" spans="1:4">
      <c r="A147" s="51">
        <v>145</v>
      </c>
    </row>
    <row r="148" spans="1:4">
      <c r="A148" s="51">
        <v>146</v>
      </c>
      <c r="B148" s="53" t="s">
        <v>394</v>
      </c>
      <c r="C148" s="52" t="str">
        <f>'Page2|Страница 2'!M54</f>
        <v>Метрические</v>
      </c>
    </row>
    <row r="149" spans="1:4">
      <c r="A149" s="51">
        <v>147</v>
      </c>
    </row>
    <row r="150" spans="1:4">
      <c r="A150" s="51">
        <v>148</v>
      </c>
      <c r="B150" s="53" t="s">
        <v>210</v>
      </c>
      <c r="C150" s="52" t="str">
        <f>'Page2|Страница 2'!M72</f>
        <v>5%, 10%, 25%, 40%, 70%, 100%</v>
      </c>
    </row>
    <row r="151" spans="1:4">
      <c r="A151" s="51">
        <v>149</v>
      </c>
      <c r="B151" s="53" t="s">
        <v>700</v>
      </c>
      <c r="C151" s="58">
        <f>'Page2|Страница 2'!M74</f>
        <v>0</v>
      </c>
    </row>
    <row r="152" spans="1:4">
      <c r="A152" s="51">
        <v>150</v>
      </c>
      <c r="B152" s="53" t="s">
        <v>211</v>
      </c>
      <c r="C152" s="52" t="str">
        <f>'Page2|Страница 2'!M76</f>
        <v>Нет</v>
      </c>
    </row>
    <row r="153" spans="1:4">
      <c r="A153" s="51">
        <v>151</v>
      </c>
      <c r="B153" s="53" t="s">
        <v>222</v>
      </c>
      <c r="C153" s="52" t="str">
        <f>'Page2|Страница 2'!M62</f>
        <v>Россия - ГОСТ</v>
      </c>
    </row>
    <row r="154" spans="1:4">
      <c r="A154" s="51">
        <v>152</v>
      </c>
    </row>
    <row r="155" spans="1:4">
      <c r="A155" s="51">
        <v>153</v>
      </c>
      <c r="B155" s="53" t="s">
        <v>702</v>
      </c>
      <c r="C155" s="58">
        <f>'Page3|Страница 3'!E75</f>
        <v>0</v>
      </c>
    </row>
    <row r="156" spans="1:4">
      <c r="A156" s="51">
        <v>154</v>
      </c>
      <c r="B156" s="53" t="s">
        <v>703</v>
      </c>
      <c r="C156" s="58" t="e">
        <f>'Page3|Страница 3'!#REF!</f>
        <v>#REF!</v>
      </c>
    </row>
    <row r="157" spans="1:4">
      <c r="A157" s="51">
        <v>155</v>
      </c>
      <c r="B157" s="53" t="s">
        <v>704</v>
      </c>
      <c r="C157" s="58" t="e">
        <f>'Page3|Страница 3'!#REF!</f>
        <v>#REF!</v>
      </c>
    </row>
    <row r="158" spans="1:4">
      <c r="A158" s="51">
        <v>156</v>
      </c>
      <c r="B158" s="53" t="s">
        <v>705</v>
      </c>
      <c r="C158" s="58" t="e">
        <f>'Page3|Страница 3'!#REF!</f>
        <v>#REF!</v>
      </c>
    </row>
    <row r="159" spans="1:4">
      <c r="A159" s="51">
        <v>157</v>
      </c>
      <c r="B159" s="53" t="s">
        <v>706</v>
      </c>
      <c r="C159" s="58" t="e">
        <f>'Page3|Страница 3'!#REF!</f>
        <v>#REF!</v>
      </c>
    </row>
    <row r="160" spans="1:4">
      <c r="A160" s="51">
        <v>158</v>
      </c>
      <c r="B160" s="53" t="s">
        <v>707</v>
      </c>
      <c r="C160" s="58" t="e">
        <f>'Page3|Страница 3'!#REF!</f>
        <v>#REF!</v>
      </c>
    </row>
    <row r="161" spans="1:3">
      <c r="A161" s="51">
        <v>159</v>
      </c>
      <c r="B161" s="53" t="s">
        <v>708</v>
      </c>
      <c r="C161" s="58" t="e">
        <f>'Page3|Страница 3'!#REF!</f>
        <v>#REF!</v>
      </c>
    </row>
    <row r="162" spans="1:3">
      <c r="A162" s="51">
        <v>160</v>
      </c>
      <c r="B162" s="53" t="s">
        <v>709</v>
      </c>
      <c r="C162" s="58" t="e">
        <f>'Page3|Страница 3'!#REF!</f>
        <v>#REF!</v>
      </c>
    </row>
    <row r="163" spans="1:3">
      <c r="A163" s="51">
        <v>161</v>
      </c>
      <c r="B163" s="53" t="s">
        <v>710</v>
      </c>
      <c r="C163" s="58" t="e">
        <f>'Page3|Страница 3'!#REF!</f>
        <v>#REF!</v>
      </c>
    </row>
    <row r="164" spans="1:3">
      <c r="A164" s="51">
        <v>162</v>
      </c>
      <c r="B164" s="53" t="s">
        <v>711</v>
      </c>
      <c r="C164" s="58">
        <f>'Page3|Страница 3'!E76</f>
        <v>0</v>
      </c>
    </row>
    <row r="165" spans="1:3">
      <c r="A165" s="51">
        <v>163</v>
      </c>
      <c r="B165" s="53" t="s">
        <v>712</v>
      </c>
      <c r="C165" s="58">
        <f>'Page3|Страница 3'!E77</f>
        <v>0</v>
      </c>
    </row>
    <row r="166" spans="1:3">
      <c r="A166" s="51">
        <v>164</v>
      </c>
      <c r="B166" s="53" t="s">
        <v>713</v>
      </c>
      <c r="C166" s="58">
        <f>'Page3|Страница 3'!E78</f>
        <v>0</v>
      </c>
    </row>
    <row r="167" spans="1:3">
      <c r="A167" s="51">
        <v>165</v>
      </c>
      <c r="B167" s="53" t="s">
        <v>714</v>
      </c>
      <c r="C167" s="58">
        <f>'Page3|Страница 3'!E79</f>
        <v>0</v>
      </c>
    </row>
    <row r="168" spans="1:3">
      <c r="A168" s="51">
        <v>166</v>
      </c>
      <c r="B168" s="53" t="s">
        <v>715</v>
      </c>
      <c r="C168" s="58">
        <f>'Page3|Страница 3'!E80</f>
        <v>0</v>
      </c>
    </row>
    <row r="169" spans="1:3">
      <c r="C169" s="58"/>
    </row>
    <row r="170" spans="1:3">
      <c r="C170" s="60"/>
    </row>
    <row r="171" spans="1:3">
      <c r="C171" s="60"/>
    </row>
    <row r="172" spans="1:3">
      <c r="C172" s="60"/>
    </row>
    <row r="173" spans="1:3">
      <c r="C173" s="60"/>
    </row>
    <row r="174" spans="1:3">
      <c r="C174" s="60"/>
    </row>
    <row r="175" spans="1:3">
      <c r="C175" s="60"/>
    </row>
    <row r="176" spans="1:3">
      <c r="C176" s="60"/>
    </row>
    <row r="177" spans="3:3">
      <c r="C177" s="60"/>
    </row>
    <row r="178" spans="3:3">
      <c r="C178" s="60"/>
    </row>
    <row r="179" spans="3:3">
      <c r="C179" s="60"/>
    </row>
    <row r="180" spans="3:3">
      <c r="C180" s="60"/>
    </row>
    <row r="181" spans="3:3">
      <c r="C181" s="60"/>
    </row>
    <row r="182" spans="3:3">
      <c r="C182" s="60"/>
    </row>
    <row r="183" spans="3:3">
      <c r="C183" s="60"/>
    </row>
    <row r="184" spans="3:3">
      <c r="C184" s="60"/>
    </row>
    <row r="300" spans="5:17">
      <c r="E300" s="52"/>
      <c r="F300" s="52"/>
      <c r="G300" s="52"/>
      <c r="H300" s="52"/>
      <c r="I300" s="52"/>
      <c r="J300" s="52"/>
      <c r="K300" s="52"/>
      <c r="L300" s="52"/>
      <c r="M300" s="52"/>
      <c r="N300" s="52"/>
      <c r="O300" s="52"/>
      <c r="P300" s="52"/>
      <c r="Q300" s="52"/>
    </row>
    <row r="301" spans="5:17">
      <c r="E301" s="52"/>
      <c r="F301" s="52"/>
      <c r="G301" s="52"/>
      <c r="H301" s="52"/>
      <c r="I301" s="52"/>
      <c r="J301" s="52"/>
      <c r="K301" s="52"/>
      <c r="L301" s="52"/>
      <c r="M301" s="52"/>
      <c r="N301" s="52"/>
      <c r="O301" s="52"/>
      <c r="P301" s="52"/>
      <c r="Q301" s="52"/>
    </row>
    <row r="302" spans="5:17">
      <c r="E302" s="52"/>
      <c r="F302" s="52"/>
      <c r="G302" s="52"/>
      <c r="H302" s="52"/>
      <c r="I302" s="52"/>
      <c r="J302" s="52"/>
      <c r="K302" s="52"/>
      <c r="L302" s="52"/>
      <c r="M302" s="52"/>
      <c r="N302" s="52"/>
      <c r="O302" s="52"/>
      <c r="P302" s="52"/>
      <c r="Q302" s="52"/>
    </row>
    <row r="303" spans="5:17">
      <c r="E303" s="52"/>
      <c r="F303" s="52"/>
      <c r="G303" s="52"/>
      <c r="H303" s="52"/>
      <c r="I303" s="52"/>
      <c r="J303" s="52"/>
      <c r="K303" s="52"/>
      <c r="L303" s="52"/>
      <c r="M303" s="52"/>
      <c r="N303" s="52"/>
      <c r="O303" s="52"/>
      <c r="P303" s="52"/>
      <c r="Q303" s="52"/>
    </row>
    <row r="304" spans="5:17">
      <c r="E304" s="52"/>
      <c r="F304" s="52"/>
      <c r="G304" s="52"/>
      <c r="H304" s="52"/>
      <c r="I304" s="52"/>
      <c r="J304" s="52"/>
      <c r="K304" s="52"/>
      <c r="L304" s="52"/>
      <c r="M304" s="52"/>
      <c r="N304" s="52"/>
      <c r="O304" s="52"/>
      <c r="P304" s="52"/>
      <c r="Q304" s="52"/>
    </row>
    <row r="305" spans="5:17">
      <c r="E305" s="52"/>
      <c r="F305" s="52"/>
      <c r="G305" s="52"/>
      <c r="H305" s="52"/>
      <c r="I305" s="52"/>
      <c r="J305" s="52"/>
      <c r="K305" s="52"/>
      <c r="L305" s="52"/>
      <c r="M305" s="52"/>
      <c r="N305" s="52"/>
      <c r="O305" s="52"/>
      <c r="P305" s="52"/>
      <c r="Q305" s="52"/>
    </row>
    <row r="306" spans="5:17">
      <c r="E306" s="52"/>
      <c r="F306" s="52"/>
      <c r="G306" s="52"/>
      <c r="H306" s="52"/>
      <c r="I306" s="52"/>
      <c r="J306" s="52"/>
      <c r="K306" s="52"/>
      <c r="L306" s="52"/>
      <c r="M306" s="52"/>
      <c r="N306" s="52"/>
      <c r="O306" s="52"/>
      <c r="P306" s="52"/>
      <c r="Q306" s="52"/>
    </row>
    <row r="307" spans="5:17">
      <c r="E307" s="52"/>
      <c r="F307" s="52"/>
      <c r="G307" s="52"/>
      <c r="H307" s="52"/>
      <c r="I307" s="52"/>
      <c r="J307" s="52"/>
      <c r="K307" s="52"/>
      <c r="L307" s="52"/>
      <c r="M307" s="52"/>
      <c r="N307" s="52"/>
      <c r="O307" s="52"/>
      <c r="P307" s="52"/>
      <c r="Q307" s="52"/>
    </row>
    <row r="308" spans="5:17">
      <c r="E308" s="52"/>
      <c r="F308" s="52"/>
      <c r="G308" s="52"/>
      <c r="H308" s="52"/>
      <c r="I308" s="52"/>
      <c r="J308" s="52"/>
      <c r="K308" s="52"/>
      <c r="L308" s="52"/>
      <c r="M308" s="52"/>
      <c r="N308" s="52"/>
      <c r="O308" s="52"/>
      <c r="P308" s="52"/>
      <c r="Q308" s="52"/>
    </row>
    <row r="309" spans="5:17">
      <c r="E309" s="52"/>
      <c r="F309" s="52"/>
      <c r="G309" s="52"/>
      <c r="H309" s="52"/>
      <c r="I309" s="52"/>
      <c r="J309" s="52"/>
      <c r="K309" s="52"/>
      <c r="L309" s="52"/>
      <c r="M309" s="52"/>
      <c r="N309" s="52"/>
      <c r="O309" s="52"/>
      <c r="P309" s="52"/>
      <c r="Q309" s="52"/>
    </row>
    <row r="310" spans="5:17">
      <c r="E310" s="52"/>
      <c r="F310" s="52"/>
      <c r="G310" s="52"/>
      <c r="H310" s="52"/>
      <c r="I310" s="52"/>
      <c r="J310" s="52"/>
      <c r="K310" s="52"/>
      <c r="L310" s="52"/>
      <c r="M310" s="52"/>
      <c r="N310" s="52"/>
      <c r="O310" s="52"/>
      <c r="P310" s="52"/>
      <c r="Q310" s="52"/>
    </row>
    <row r="311" spans="5:17">
      <c r="E311" s="52"/>
      <c r="F311" s="52"/>
      <c r="G311" s="52"/>
      <c r="H311" s="52"/>
      <c r="I311" s="52"/>
      <c r="J311" s="52"/>
      <c r="K311" s="52"/>
      <c r="L311" s="52"/>
      <c r="M311" s="52"/>
      <c r="N311" s="52"/>
      <c r="O311" s="52"/>
      <c r="P311" s="52"/>
      <c r="Q311" s="52"/>
    </row>
    <row r="312" spans="5:17">
      <c r="E312" s="52"/>
      <c r="F312" s="52"/>
      <c r="G312" s="52"/>
      <c r="H312" s="52"/>
      <c r="I312" s="52"/>
      <c r="J312" s="52"/>
      <c r="K312" s="52"/>
      <c r="L312" s="52"/>
      <c r="M312" s="52"/>
      <c r="N312" s="52"/>
      <c r="O312" s="52"/>
      <c r="P312" s="52"/>
      <c r="Q312" s="52"/>
    </row>
    <row r="313" spans="5:17">
      <c r="E313" s="52"/>
      <c r="F313" s="52"/>
      <c r="G313" s="52"/>
      <c r="H313" s="52"/>
      <c r="I313" s="52"/>
      <c r="J313" s="52"/>
      <c r="K313" s="52"/>
      <c r="L313" s="52"/>
      <c r="M313" s="52"/>
      <c r="N313" s="52"/>
      <c r="O313" s="52"/>
      <c r="P313" s="52"/>
      <c r="Q313" s="52"/>
    </row>
    <row r="314" spans="5:17">
      <c r="E314" s="52"/>
      <c r="F314" s="52"/>
      <c r="G314" s="52"/>
      <c r="H314" s="52"/>
      <c r="I314" s="52"/>
      <c r="J314" s="52"/>
      <c r="K314" s="52"/>
      <c r="L314" s="52"/>
      <c r="M314" s="52"/>
      <c r="N314" s="52"/>
      <c r="O314" s="52"/>
      <c r="P314" s="52"/>
      <c r="Q314" s="52"/>
    </row>
    <row r="315" spans="5:17">
      <c r="E315" s="52"/>
      <c r="F315" s="52"/>
      <c r="G315" s="52"/>
      <c r="H315" s="52"/>
      <c r="I315" s="52"/>
      <c r="J315" s="52"/>
      <c r="K315" s="52"/>
      <c r="L315" s="52"/>
      <c r="M315" s="52"/>
      <c r="N315" s="52"/>
      <c r="O315" s="52"/>
      <c r="P315" s="52"/>
      <c r="Q315" s="52"/>
    </row>
    <row r="316" spans="5:17">
      <c r="E316" s="52"/>
      <c r="F316" s="52"/>
      <c r="G316" s="52"/>
      <c r="H316" s="52"/>
      <c r="I316" s="52"/>
      <c r="J316" s="52"/>
      <c r="K316" s="52"/>
      <c r="L316" s="52"/>
      <c r="M316" s="52"/>
      <c r="N316" s="52"/>
      <c r="O316" s="52"/>
      <c r="P316" s="52"/>
      <c r="Q316" s="52"/>
    </row>
  </sheetData>
  <phoneticPr fontId="23" type="noConversion"/>
  <conditionalFormatting sqref="D123">
    <cfRule type="cellIs" dxfId="13" priority="1" stopIfTrue="1" operator="equal">
      <formula>"produktionsreif"</formula>
    </cfRule>
  </conditionalFormatting>
  <printOptions headings="1" gridLines="1"/>
  <pageMargins left="0.78740157480314965" right="0.78740157480314965" top="0.39370078740157483" bottom="0.39370078740157483" header="0.51181102362204722" footer="0.51181102362204722"/>
  <pageSetup paperSize="9" scale="37" orientation="portrait"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124</vt:i4>
      </vt:variant>
    </vt:vector>
  </HeadingPairs>
  <TitlesOfParts>
    <vt:vector size="133" baseType="lpstr">
      <vt:lpstr>Page1|Страница 1</vt:lpstr>
      <vt:lpstr>Page2|Страница 2</vt:lpstr>
      <vt:lpstr>Page3|Страница 3</vt:lpstr>
      <vt:lpstr>Overview |Обзор спецификации</vt:lpstr>
      <vt:lpstr>Help|Помощь</vt:lpstr>
      <vt:lpstr>Data</vt:lpstr>
      <vt:lpstr>language</vt:lpstr>
      <vt:lpstr>unittrans</vt:lpstr>
      <vt:lpstr>tq-transfer</vt:lpstr>
      <vt:lpstr>abrcor</vt:lpstr>
      <vt:lpstr>alarmvalue</vt:lpstr>
      <vt:lpstr>Angebot</vt:lpstr>
      <vt:lpstr>calibration</vt:lpstr>
      <vt:lpstr>calibratopn</vt:lpstr>
      <vt:lpstr>caliMedium</vt:lpstr>
      <vt:lpstr>capmaterial</vt:lpstr>
      <vt:lpstr>condition</vt:lpstr>
      <vt:lpstr>Condition_Ja</vt:lpstr>
      <vt:lpstr>designcode</vt:lpstr>
      <vt:lpstr>designcode_ru</vt:lpstr>
      <vt:lpstr>druck</vt:lpstr>
      <vt:lpstr>Druckentnahme_Anmerkungen</vt:lpstr>
      <vt:lpstr>Druckentnahme_Anmerkungen_lang</vt:lpstr>
      <vt:lpstr>Druckentnahme_Anzahl</vt:lpstr>
      <vt:lpstr>druckentnahme1</vt:lpstr>
      <vt:lpstr>druckentnahme2</vt:lpstr>
      <vt:lpstr>druckregler</vt:lpstr>
      <vt:lpstr>Druckregler_Ja_1</vt:lpstr>
      <vt:lpstr>Druckregler_Ja_2</vt:lpstr>
      <vt:lpstr>drycalibration</vt:lpstr>
      <vt:lpstr>Einheit_01</vt:lpstr>
      <vt:lpstr>Einheit_02</vt:lpstr>
      <vt:lpstr>Einheit_03</vt:lpstr>
      <vt:lpstr>Einheit_04</vt:lpstr>
      <vt:lpstr>Einheit_05</vt:lpstr>
      <vt:lpstr>Einheit_06</vt:lpstr>
      <vt:lpstr>Einheit_07</vt:lpstr>
      <vt:lpstr>Einheit_08</vt:lpstr>
      <vt:lpstr>Einheit_09</vt:lpstr>
      <vt:lpstr>Einheit_10</vt:lpstr>
      <vt:lpstr>Einheit_11</vt:lpstr>
      <vt:lpstr>Einheit_12</vt:lpstr>
      <vt:lpstr>engineering</vt:lpstr>
      <vt:lpstr>exclass</vt:lpstr>
      <vt:lpstr>exproof</vt:lpstr>
      <vt:lpstr>flangedesigncode</vt:lpstr>
      <vt:lpstr>flangefacing</vt:lpstr>
      <vt:lpstr>flangefacing_GOST</vt:lpstr>
      <vt:lpstr>flangerating</vt:lpstr>
      <vt:lpstr>flangeratingANSI</vt:lpstr>
      <vt:lpstr>flangeratingDIN</vt:lpstr>
      <vt:lpstr>Flanschnorm1</vt:lpstr>
      <vt:lpstr>flow_max</vt:lpstr>
      <vt:lpstr>flow_min</vt:lpstr>
      <vt:lpstr>frontpanel</vt:lpstr>
      <vt:lpstr>gas</vt:lpstr>
      <vt:lpstr>Gas_CO2</vt:lpstr>
      <vt:lpstr>Gas_H2</vt:lpstr>
      <vt:lpstr>Gas_O2</vt:lpstr>
      <vt:lpstr>Gasart</vt:lpstr>
      <vt:lpstr>gascomposition</vt:lpstr>
      <vt:lpstr>Gasz01</vt:lpstr>
      <vt:lpstr>Gasz02</vt:lpstr>
      <vt:lpstr>Gasz03</vt:lpstr>
      <vt:lpstr>Gasz04</vt:lpstr>
      <vt:lpstr>Gasz05</vt:lpstr>
      <vt:lpstr>Gasz06</vt:lpstr>
      <vt:lpstr>Gasz07</vt:lpstr>
      <vt:lpstr>Gasz08</vt:lpstr>
      <vt:lpstr>gateconfig</vt:lpstr>
      <vt:lpstr>gewinde</vt:lpstr>
      <vt:lpstr>gklasse</vt:lpstr>
      <vt:lpstr>Hart_Yes_No</vt:lpstr>
      <vt:lpstr>Hinw_Gas_01</vt:lpstr>
      <vt:lpstr>Hinw_Gas_Lang</vt:lpstr>
      <vt:lpstr>Hinweis_keinöl</vt:lpstr>
      <vt:lpstr>Hinweis_Öl</vt:lpstr>
      <vt:lpstr>hw_31</vt:lpstr>
      <vt:lpstr>hw_5141</vt:lpstr>
      <vt:lpstr>hw_81</vt:lpstr>
      <vt:lpstr>impulsfaktor</vt:lpstr>
      <vt:lpstr>innerDiameter</vt:lpstr>
      <vt:lpstr>IO_Signal_81_82</vt:lpstr>
      <vt:lpstr>Kali_Kunde</vt:lpstr>
      <vt:lpstr>klemme31</vt:lpstr>
      <vt:lpstr>klemme33</vt:lpstr>
      <vt:lpstr>klemme41</vt:lpstr>
      <vt:lpstr>klemme51</vt:lpstr>
      <vt:lpstr>klemme51_12</vt:lpstr>
      <vt:lpstr>klemme81</vt:lpstr>
      <vt:lpstr>kundenangabe</vt:lpstr>
      <vt:lpstr>'Page2|Страница 2'!langchoose</vt:lpstr>
      <vt:lpstr>langchoose</vt:lpstr>
      <vt:lpstr>leakagetest</vt:lpstr>
      <vt:lpstr>leakagetest_E</vt:lpstr>
      <vt:lpstr>material</vt:lpstr>
      <vt:lpstr>Material1</vt:lpstr>
      <vt:lpstr>materialcertificate</vt:lpstr>
      <vt:lpstr>meterbodylength</vt:lpstr>
      <vt:lpstr>metersize</vt:lpstr>
      <vt:lpstr>nationaltype</vt:lpstr>
      <vt:lpstr>other</vt:lpstr>
      <vt:lpstr>Output_config_2</vt:lpstr>
      <vt:lpstr>outputconfig</vt:lpstr>
      <vt:lpstr>p_max</vt:lpstr>
      <vt:lpstr>p_min</vt:lpstr>
      <vt:lpstr>painting</vt:lpstr>
      <vt:lpstr>painting_E</vt:lpstr>
      <vt:lpstr>pathconfig</vt:lpstr>
      <vt:lpstr>pathconfig1</vt:lpstr>
      <vt:lpstr>Rauigkeit</vt:lpstr>
      <vt:lpstr>rp31_</vt:lpstr>
      <vt:lpstr>rp51_</vt:lpstr>
      <vt:lpstr>rp81_</vt:lpstr>
      <vt:lpstr>schaltausgang</vt:lpstr>
      <vt:lpstr>schalter1</vt:lpstr>
      <vt:lpstr>sonstiges</vt:lpstr>
      <vt:lpstr>surfacequality</vt:lpstr>
      <vt:lpstr>t_max</vt:lpstr>
      <vt:lpstr>t_min</vt:lpstr>
      <vt:lpstr>testmedium</vt:lpstr>
      <vt:lpstr>tp</vt:lpstr>
      <vt:lpstr>tu_max</vt:lpstr>
      <vt:lpstr>tu_min</vt:lpstr>
      <vt:lpstr>turndownratio</vt:lpstr>
      <vt:lpstr>unit</vt:lpstr>
      <vt:lpstr>Yes_E</vt:lpstr>
      <vt:lpstr>YesNo</vt:lpstr>
      <vt:lpstr>Data!Область_печати</vt:lpstr>
      <vt:lpstr>'Overview |Обзор спецификации'!Область_печати</vt:lpstr>
      <vt:lpstr>'Page1|Страница 1'!Область_печати</vt:lpstr>
      <vt:lpstr>'Page2|Страница 2'!Область_печати</vt:lpstr>
      <vt:lpstr>'Page3|Страница 3'!Область_печати</vt:lpstr>
    </vt:vector>
  </TitlesOfParts>
  <Company>SICK Engineering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PFO</dc:creator>
  <cp:lastModifiedBy>Горбунов Артем Станиславович</cp:lastModifiedBy>
  <cp:lastPrinted>2015-12-11T05:19:32Z</cp:lastPrinted>
  <dcterms:created xsi:type="dcterms:W3CDTF">2005-08-22T14:48:51Z</dcterms:created>
  <dcterms:modified xsi:type="dcterms:W3CDTF">2022-07-22T13:06:28Z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safePathAndName">
    <vt:lpwstr>C:\Dokumente und Einstellungen\roehluw\Eigene Dateien\URO\Makro Excel\Tool PM\TQ_FL600#V 2-1-6_de.xls</vt:lpwstr>
  </property>
</Properties>
</file>